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fb-dc2\users\simonw\Misc\"/>
    </mc:Choice>
  </mc:AlternateContent>
  <bookViews>
    <workbookView xWindow="0" yWindow="0" windowWidth="28800" windowHeight="12480" activeTab="1"/>
  </bookViews>
  <sheets>
    <sheet name="Guide" sheetId="4" r:id="rId1"/>
    <sheet name="Summary" sheetId="5" r:id="rId2"/>
    <sheet name="Legislation" sheetId="1" r:id="rId3"/>
    <sheet name="Incorporation costs" sheetId="3" r:id="rId4"/>
    <sheet name="Income and Tax" sheetId="2" r:id="rId5"/>
    <sheet name="Interest Rate Break-Even" sheetId="6" r:id="rId6"/>
  </sheets>
  <definedNames>
    <definedName name="_xlnm.Print_Area" localSheetId="0">Guide!$A$1:$A$68</definedName>
    <definedName name="_xlnm.Print_Area" localSheetId="4">'Income and Tax'!$A$1:$M$38</definedName>
    <definedName name="_xlnm.Print_Area" localSheetId="3">'Incorporation costs'!$A$1:$E$67</definedName>
    <definedName name="_xlnm.Print_Area" localSheetId="2">Legislation!$A$1:$G$57</definedName>
    <definedName name="_xlnm.Print_Area" localSheetId="1">Summary!$A$2:$J$28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1" i="3" l="1"/>
  <c r="B32" i="3"/>
  <c r="B33" i="3"/>
  <c r="B34" i="3" s="1"/>
  <c r="B35" i="3" s="1"/>
  <c r="B36" i="3" s="1"/>
  <c r="B37" i="3" s="1"/>
  <c r="B38" i="3" s="1"/>
  <c r="B30" i="3"/>
  <c r="C100" i="3" l="1"/>
  <c r="C99" i="3"/>
  <c r="D99" i="3" s="1"/>
  <c r="C96" i="3"/>
  <c r="D96" i="3" s="1"/>
  <c r="C97" i="3"/>
  <c r="D97" i="3" s="1"/>
  <c r="C98" i="3"/>
  <c r="D98" i="3" s="1"/>
  <c r="C93" i="3"/>
  <c r="A93" i="3" s="1"/>
  <c r="C31" i="3" s="1"/>
  <c r="D93" i="3"/>
  <c r="D100" i="3"/>
  <c r="D104" i="3"/>
  <c r="D108" i="3"/>
  <c r="D112" i="3"/>
  <c r="D116" i="3"/>
  <c r="D120" i="3"/>
  <c r="D124" i="3"/>
  <c r="D128" i="3"/>
  <c r="C91" i="3"/>
  <c r="D91" i="3" s="1"/>
  <c r="C92" i="3"/>
  <c r="D92" i="3" s="1"/>
  <c r="C94" i="3"/>
  <c r="D94" i="3" s="1"/>
  <c r="C95" i="3"/>
  <c r="D95" i="3" s="1"/>
  <c r="C101" i="3"/>
  <c r="C102" i="3"/>
  <c r="D102" i="3" s="1"/>
  <c r="C103" i="3"/>
  <c r="D103" i="3" s="1"/>
  <c r="C104" i="3"/>
  <c r="C105" i="3"/>
  <c r="D105" i="3" s="1"/>
  <c r="C106" i="3"/>
  <c r="D106" i="3" s="1"/>
  <c r="C107" i="3"/>
  <c r="D107" i="3" s="1"/>
  <c r="C108" i="3"/>
  <c r="C109" i="3"/>
  <c r="D109" i="3" s="1"/>
  <c r="C110" i="3"/>
  <c r="D110" i="3" s="1"/>
  <c r="C111" i="3"/>
  <c r="D111" i="3" s="1"/>
  <c r="C112" i="3"/>
  <c r="C113" i="3"/>
  <c r="D113" i="3" s="1"/>
  <c r="C114" i="3"/>
  <c r="D114" i="3" s="1"/>
  <c r="C115" i="3"/>
  <c r="A115" i="3" s="1"/>
  <c r="C53" i="3" s="1"/>
  <c r="C116" i="3"/>
  <c r="C117" i="3"/>
  <c r="D117" i="3" s="1"/>
  <c r="C118" i="3"/>
  <c r="D118" i="3" s="1"/>
  <c r="C119" i="3"/>
  <c r="D119" i="3" s="1"/>
  <c r="C120" i="3"/>
  <c r="C121" i="3"/>
  <c r="D121" i="3" s="1"/>
  <c r="C122" i="3"/>
  <c r="D122" i="3" s="1"/>
  <c r="C123" i="3"/>
  <c r="D123" i="3" s="1"/>
  <c r="C124" i="3"/>
  <c r="C125" i="3"/>
  <c r="D125" i="3" s="1"/>
  <c r="C126" i="3"/>
  <c r="D126" i="3" s="1"/>
  <c r="C127" i="3"/>
  <c r="A127" i="3" s="1"/>
  <c r="C65" i="3" s="1"/>
  <c r="C128" i="3"/>
  <c r="C129" i="3"/>
  <c r="D129" i="3" s="1"/>
  <c r="B89" i="3"/>
  <c r="A85" i="3"/>
  <c r="B86" i="3"/>
  <c r="A86" i="3"/>
  <c r="B87" i="3"/>
  <c r="A87" i="3"/>
  <c r="B88" i="3"/>
  <c r="B75" i="3"/>
  <c r="A100" i="3" s="1"/>
  <c r="C38" i="3" s="1"/>
  <c r="A75" i="3"/>
  <c r="B76" i="3"/>
  <c r="A106" i="3" s="1"/>
  <c r="C44" i="3" s="1"/>
  <c r="A76" i="3"/>
  <c r="B77" i="3"/>
  <c r="A77" i="3"/>
  <c r="B78" i="3"/>
  <c r="A78" i="3"/>
  <c r="B79" i="3"/>
  <c r="B82" i="3"/>
  <c r="A105" i="3"/>
  <c r="C43" i="3" s="1"/>
  <c r="A108" i="3"/>
  <c r="C46" i="3" s="1"/>
  <c r="A111" i="3"/>
  <c r="C49" i="3" s="1"/>
  <c r="A117" i="3"/>
  <c r="C55" i="3" s="1"/>
  <c r="A122" i="3"/>
  <c r="C60" i="3" s="1"/>
  <c r="B80" i="3"/>
  <c r="A89" i="3"/>
  <c r="A83" i="3"/>
  <c r="B83" i="3"/>
  <c r="A84" i="3"/>
  <c r="B84" i="3"/>
  <c r="B85" i="3"/>
  <c r="A88" i="3"/>
  <c r="B91" i="3"/>
  <c r="C81" i="3"/>
  <c r="D81" i="3"/>
  <c r="A81" i="3"/>
  <c r="B81" i="3"/>
  <c r="A82" i="3"/>
  <c r="B74" i="3"/>
  <c r="C43" i="6"/>
  <c r="D43" i="6"/>
  <c r="B43" i="6"/>
  <c r="B44" i="6"/>
  <c r="B45" i="6"/>
  <c r="B46" i="6"/>
  <c r="B18" i="6"/>
  <c r="C34" i="6"/>
  <c r="D34" i="6"/>
  <c r="B34" i="6"/>
  <c r="B35" i="6"/>
  <c r="B36" i="6"/>
  <c r="B37" i="6"/>
  <c r="B17" i="6"/>
  <c r="C25" i="6"/>
  <c r="D25" i="6"/>
  <c r="B25" i="6"/>
  <c r="B26" i="6"/>
  <c r="B52" i="6"/>
  <c r="B53" i="6"/>
  <c r="B54" i="6"/>
  <c r="B55" i="6"/>
  <c r="B19" i="6"/>
  <c r="C52" i="6"/>
  <c r="D52" i="6"/>
  <c r="D44" i="6"/>
  <c r="D45" i="6"/>
  <c r="D46" i="6"/>
  <c r="D18" i="6"/>
  <c r="C35" i="6"/>
  <c r="C26" i="6"/>
  <c r="D35" i="6"/>
  <c r="D26" i="6"/>
  <c r="C44" i="6"/>
  <c r="C45" i="6"/>
  <c r="C46" i="6"/>
  <c r="C18" i="6"/>
  <c r="B27" i="6"/>
  <c r="B28" i="6"/>
  <c r="B16" i="6"/>
  <c r="C53" i="6"/>
  <c r="C54" i="6"/>
  <c r="C55" i="6"/>
  <c r="C19" i="6"/>
  <c r="C36" i="6"/>
  <c r="C37" i="6"/>
  <c r="C17" i="6"/>
  <c r="D36" i="6"/>
  <c r="D37" i="6"/>
  <c r="D17" i="6"/>
  <c r="C27" i="6"/>
  <c r="C28" i="6"/>
  <c r="C16" i="6"/>
  <c r="D27" i="6"/>
  <c r="D28" i="6"/>
  <c r="D16" i="6"/>
  <c r="D53" i="6"/>
  <c r="D54" i="6"/>
  <c r="D55" i="6"/>
  <c r="D19" i="6"/>
  <c r="C19" i="2"/>
  <c r="C18" i="2"/>
  <c r="C4" i="2"/>
  <c r="C5" i="2"/>
  <c r="C3" i="2"/>
  <c r="B90" i="2"/>
  <c r="B89" i="2"/>
  <c r="C7" i="1"/>
  <c r="C19" i="1"/>
  <c r="D73" i="2"/>
  <c r="J73" i="2"/>
  <c r="A71" i="2"/>
  <c r="C71" i="2"/>
  <c r="I71" i="2"/>
  <c r="D71" i="2"/>
  <c r="J71" i="2"/>
  <c r="E71" i="2"/>
  <c r="K71" i="2"/>
  <c r="F71" i="2"/>
  <c r="L71" i="2"/>
  <c r="G71" i="2"/>
  <c r="M71" i="2"/>
  <c r="A72" i="2"/>
  <c r="C72" i="2"/>
  <c r="D72" i="2"/>
  <c r="J72" i="2"/>
  <c r="E72" i="2"/>
  <c r="K72" i="2"/>
  <c r="F72" i="2"/>
  <c r="L72" i="2"/>
  <c r="G72" i="2"/>
  <c r="M72" i="2"/>
  <c r="I72" i="2"/>
  <c r="A73" i="2"/>
  <c r="C73" i="2"/>
  <c r="I73" i="2"/>
  <c r="A74" i="2"/>
  <c r="D74" i="2"/>
  <c r="J74" i="2"/>
  <c r="A75" i="2"/>
  <c r="C75" i="2"/>
  <c r="I75" i="2"/>
  <c r="D75" i="2"/>
  <c r="J75" i="2"/>
  <c r="E75" i="2"/>
  <c r="K75" i="2"/>
  <c r="F75" i="2"/>
  <c r="L75" i="2"/>
  <c r="G75" i="2"/>
  <c r="M75" i="2"/>
  <c r="A76" i="2"/>
  <c r="C76" i="2"/>
  <c r="I76" i="2"/>
  <c r="D76" i="2"/>
  <c r="J76" i="2"/>
  <c r="E76" i="2"/>
  <c r="K76" i="2"/>
  <c r="F76" i="2"/>
  <c r="L76" i="2"/>
  <c r="G76" i="2"/>
  <c r="M76" i="2"/>
  <c r="A77" i="2"/>
  <c r="C77" i="2"/>
  <c r="I77" i="2"/>
  <c r="D77" i="2"/>
  <c r="J77" i="2"/>
  <c r="E77" i="2"/>
  <c r="K77" i="2"/>
  <c r="F77" i="2"/>
  <c r="L77" i="2"/>
  <c r="G77" i="2"/>
  <c r="M77" i="2"/>
  <c r="C20" i="1"/>
  <c r="B20" i="1"/>
  <c r="C74" i="2"/>
  <c r="I74" i="2"/>
  <c r="C6" i="2"/>
  <c r="D54" i="2"/>
  <c r="E54" i="2"/>
  <c r="F54" i="2"/>
  <c r="G54" i="2"/>
  <c r="I54" i="2"/>
  <c r="J54" i="2"/>
  <c r="K54" i="2"/>
  <c r="L54" i="2"/>
  <c r="M54" i="2"/>
  <c r="C138" i="2"/>
  <c r="A126" i="2"/>
  <c r="A138" i="2"/>
  <c r="A125" i="2"/>
  <c r="A137" i="2"/>
  <c r="A124" i="2"/>
  <c r="A136" i="2"/>
  <c r="A123" i="2"/>
  <c r="A135" i="2"/>
  <c r="A122" i="2"/>
  <c r="A134" i="2"/>
  <c r="A121" i="2"/>
  <c r="A133" i="2"/>
  <c r="A120" i="2"/>
  <c r="A132" i="2"/>
  <c r="A119" i="2"/>
  <c r="A131" i="2"/>
  <c r="A118" i="2"/>
  <c r="A130" i="2"/>
  <c r="A117" i="2"/>
  <c r="A129" i="2"/>
  <c r="B14" i="2"/>
  <c r="A16" i="4"/>
  <c r="J28" i="5"/>
  <c r="C18" i="5"/>
  <c r="H5" i="5"/>
  <c r="H6" i="5"/>
  <c r="F17" i="5"/>
  <c r="C17" i="5"/>
  <c r="K19" i="5"/>
  <c r="L19" i="5"/>
  <c r="M19" i="5"/>
  <c r="N19" i="5"/>
  <c r="O19" i="5"/>
  <c r="K21" i="5"/>
  <c r="L21" i="5"/>
  <c r="M21" i="5"/>
  <c r="N21" i="5"/>
  <c r="O21" i="5"/>
  <c r="K23" i="5"/>
  <c r="L23" i="5"/>
  <c r="M23" i="5"/>
  <c r="N23" i="5"/>
  <c r="O23" i="5"/>
  <c r="K25" i="5"/>
  <c r="L25" i="5"/>
  <c r="M25" i="5"/>
  <c r="N25" i="5"/>
  <c r="O25" i="5"/>
  <c r="K27" i="5"/>
  <c r="L27" i="5"/>
  <c r="M27" i="5"/>
  <c r="N27" i="5"/>
  <c r="O27" i="5"/>
  <c r="K28" i="5"/>
  <c r="L28" i="5"/>
  <c r="M28" i="5"/>
  <c r="N28" i="5"/>
  <c r="O28" i="5"/>
  <c r="F14" i="5"/>
  <c r="C143" i="2"/>
  <c r="O14" i="2"/>
  <c r="A35" i="2"/>
  <c r="E7" i="5"/>
  <c r="D6" i="5"/>
  <c r="O5" i="2"/>
  <c r="A34" i="2"/>
  <c r="O4" i="2"/>
  <c r="A33" i="2"/>
  <c r="B5" i="2"/>
  <c r="A80" i="3"/>
  <c r="H33" i="2"/>
  <c r="C4" i="3"/>
  <c r="B99" i="3"/>
  <c r="D37" i="3" s="1"/>
  <c r="B100" i="3"/>
  <c r="D38" i="3" s="1"/>
  <c r="B101" i="3"/>
  <c r="D39" i="3" s="1"/>
  <c r="B102" i="3"/>
  <c r="D40" i="3" s="1"/>
  <c r="B103" i="3"/>
  <c r="D41" i="3" s="1"/>
  <c r="B104" i="3"/>
  <c r="D42" i="3" s="1"/>
  <c r="B105" i="3"/>
  <c r="D43" i="3" s="1"/>
  <c r="B106" i="3"/>
  <c r="D44" i="3" s="1"/>
  <c r="B107" i="3"/>
  <c r="D45" i="3" s="1"/>
  <c r="B108" i="3"/>
  <c r="D46" i="3" s="1"/>
  <c r="B109" i="3"/>
  <c r="D47" i="3" s="1"/>
  <c r="B110" i="3"/>
  <c r="D48" i="3" s="1"/>
  <c r="B111" i="3"/>
  <c r="D49" i="3" s="1"/>
  <c r="B112" i="3"/>
  <c r="D50" i="3" s="1"/>
  <c r="B113" i="3"/>
  <c r="D51" i="3" s="1"/>
  <c r="B114" i="3"/>
  <c r="D52" i="3" s="1"/>
  <c r="B115" i="3"/>
  <c r="D53" i="3" s="1"/>
  <c r="B116" i="3"/>
  <c r="D54" i="3" s="1"/>
  <c r="B117" i="3"/>
  <c r="D55" i="3" s="1"/>
  <c r="B118" i="3"/>
  <c r="D56" i="3" s="1"/>
  <c r="B119" i="3"/>
  <c r="D57" i="3" s="1"/>
  <c r="B120" i="3"/>
  <c r="D58" i="3" s="1"/>
  <c r="B121" i="3"/>
  <c r="D59" i="3" s="1"/>
  <c r="B122" i="3"/>
  <c r="D60" i="3" s="1"/>
  <c r="B123" i="3"/>
  <c r="D61" i="3" s="1"/>
  <c r="B124" i="3"/>
  <c r="D62" i="3" s="1"/>
  <c r="B125" i="3"/>
  <c r="D63" i="3" s="1"/>
  <c r="B126" i="3"/>
  <c r="D64" i="3" s="1"/>
  <c r="B127" i="3"/>
  <c r="D65" i="3" s="1"/>
  <c r="B128" i="3"/>
  <c r="B129" i="3"/>
  <c r="B92" i="3"/>
  <c r="D30" i="3" s="1"/>
  <c r="B93" i="3"/>
  <c r="D31" i="3"/>
  <c r="B94" i="3"/>
  <c r="D32" i="3" s="1"/>
  <c r="B95" i="3"/>
  <c r="D33" i="3" s="1"/>
  <c r="B96" i="3"/>
  <c r="D34" i="3" s="1"/>
  <c r="B97" i="3"/>
  <c r="D35" i="3" s="1"/>
  <c r="B98" i="3"/>
  <c r="D36" i="3" s="1"/>
  <c r="A79" i="3"/>
  <c r="A74" i="3"/>
  <c r="C75" i="3"/>
  <c r="D29" i="3"/>
  <c r="B14" i="1"/>
  <c r="C11" i="1"/>
  <c r="B11" i="1"/>
  <c r="C15" i="1"/>
  <c r="C14" i="1"/>
  <c r="D15" i="1"/>
  <c r="E15" i="1"/>
  <c r="F15" i="1"/>
  <c r="E7" i="1"/>
  <c r="F7" i="1"/>
  <c r="D7" i="1"/>
  <c r="E3" i="1"/>
  <c r="F3" i="1"/>
  <c r="D3" i="1"/>
  <c r="C188" i="2"/>
  <c r="A168" i="2"/>
  <c r="A180" i="2"/>
  <c r="A169" i="2"/>
  <c r="A181" i="2"/>
  <c r="A170" i="2"/>
  <c r="A182" i="2"/>
  <c r="A171" i="2"/>
  <c r="A183" i="2"/>
  <c r="A172" i="2"/>
  <c r="A184" i="2"/>
  <c r="A173" i="2"/>
  <c r="A185" i="2"/>
  <c r="A174" i="2"/>
  <c r="A186" i="2"/>
  <c r="A175" i="2"/>
  <c r="A187" i="2"/>
  <c r="A176" i="2"/>
  <c r="A188" i="2"/>
  <c r="A167" i="2"/>
  <c r="A179" i="2"/>
  <c r="D19" i="1"/>
  <c r="E73" i="2"/>
  <c r="K73" i="2"/>
  <c r="D10" i="1"/>
  <c r="A57" i="2"/>
  <c r="C85" i="2"/>
  <c r="A86" i="2"/>
  <c r="C86" i="2"/>
  <c r="C69" i="2"/>
  <c r="D69" i="2"/>
  <c r="J69" i="2"/>
  <c r="E69" i="2"/>
  <c r="K69" i="2"/>
  <c r="F69" i="2"/>
  <c r="L69" i="2"/>
  <c r="G69" i="2"/>
  <c r="M69" i="2"/>
  <c r="C70" i="2"/>
  <c r="I70" i="2"/>
  <c r="D70" i="2"/>
  <c r="J70" i="2"/>
  <c r="E70" i="2"/>
  <c r="K70" i="2"/>
  <c r="F70" i="2"/>
  <c r="L70" i="2"/>
  <c r="G70" i="2"/>
  <c r="M70" i="2"/>
  <c r="C80" i="2"/>
  <c r="I80" i="2"/>
  <c r="D80" i="2"/>
  <c r="J80" i="2"/>
  <c r="G80" i="2"/>
  <c r="M80" i="2"/>
  <c r="C81" i="2"/>
  <c r="I81" i="2"/>
  <c r="D81" i="2"/>
  <c r="J81" i="2"/>
  <c r="E81" i="2"/>
  <c r="K81" i="2"/>
  <c r="F81" i="2"/>
  <c r="L81" i="2"/>
  <c r="G81" i="2"/>
  <c r="M81" i="2"/>
  <c r="C82" i="2"/>
  <c r="I82" i="2"/>
  <c r="D82" i="2"/>
  <c r="J82" i="2"/>
  <c r="E82" i="2"/>
  <c r="K82" i="2"/>
  <c r="F82" i="2"/>
  <c r="L82" i="2"/>
  <c r="G82" i="2"/>
  <c r="M82" i="2"/>
  <c r="C83" i="2"/>
  <c r="C84" i="2"/>
  <c r="D67" i="2"/>
  <c r="J67" i="2"/>
  <c r="E67" i="2"/>
  <c r="K67" i="2"/>
  <c r="F67" i="2"/>
  <c r="L67" i="2"/>
  <c r="G67" i="2"/>
  <c r="M67" i="2"/>
  <c r="C67" i="2"/>
  <c r="I67" i="2"/>
  <c r="A66" i="2"/>
  <c r="A67" i="2"/>
  <c r="A68" i="2"/>
  <c r="A69" i="2"/>
  <c r="A70" i="2"/>
  <c r="A80" i="2"/>
  <c r="A81" i="2"/>
  <c r="D68" i="2"/>
  <c r="J68" i="2"/>
  <c r="C68" i="2"/>
  <c r="I68" i="2"/>
  <c r="C29" i="1"/>
  <c r="D84" i="2"/>
  <c r="C30" i="1"/>
  <c r="D85" i="2"/>
  <c r="C31" i="1"/>
  <c r="D31" i="1"/>
  <c r="E31" i="1"/>
  <c r="F31" i="1"/>
  <c r="G86" i="2"/>
  <c r="M86" i="2"/>
  <c r="C28" i="1"/>
  <c r="D28" i="1"/>
  <c r="E83" i="2"/>
  <c r="A63" i="2"/>
  <c r="A64" i="2"/>
  <c r="A65" i="2"/>
  <c r="C62" i="2"/>
  <c r="I62" i="2"/>
  <c r="D62" i="2"/>
  <c r="J62" i="2"/>
  <c r="E62" i="2"/>
  <c r="K62" i="2"/>
  <c r="F62" i="2"/>
  <c r="L62" i="2"/>
  <c r="G62" i="2"/>
  <c r="M62" i="2"/>
  <c r="A55" i="2"/>
  <c r="A56" i="2"/>
  <c r="A54" i="2"/>
  <c r="I19" i="2"/>
  <c r="I18" i="2"/>
  <c r="B24" i="1"/>
  <c r="C79" i="2"/>
  <c r="I79" i="2"/>
  <c r="I5" i="2"/>
  <c r="I4" i="2"/>
  <c r="I3" i="2"/>
  <c r="I7" i="2"/>
  <c r="D19" i="2"/>
  <c r="D143" i="2"/>
  <c r="D18" i="2"/>
  <c r="D4" i="2"/>
  <c r="J4" i="2"/>
  <c r="D5" i="2"/>
  <c r="E5" i="2"/>
  <c r="K5" i="2"/>
  <c r="D3" i="2"/>
  <c r="J3" i="2"/>
  <c r="J7" i="2"/>
  <c r="C2" i="2"/>
  <c r="I2" i="2"/>
  <c r="E2" i="2"/>
  <c r="K2" i="2"/>
  <c r="F2" i="2"/>
  <c r="L2" i="2"/>
  <c r="G2" i="2"/>
  <c r="M2" i="2"/>
  <c r="D2" i="2"/>
  <c r="J2" i="2"/>
  <c r="A30" i="1"/>
  <c r="A85" i="2"/>
  <c r="A28" i="1"/>
  <c r="A83" i="2"/>
  <c r="A29" i="1"/>
  <c r="A84" i="2"/>
  <c r="A27" i="1"/>
  <c r="A82" i="2"/>
  <c r="D25" i="1"/>
  <c r="E80" i="2"/>
  <c r="K80" i="2"/>
  <c r="D24" i="1"/>
  <c r="E79" i="2"/>
  <c r="K79" i="2"/>
  <c r="E24" i="1"/>
  <c r="F79" i="2"/>
  <c r="L79" i="2"/>
  <c r="F24" i="1"/>
  <c r="G79" i="2"/>
  <c r="M79" i="2"/>
  <c r="C24" i="1"/>
  <c r="D79" i="2"/>
  <c r="J79" i="2"/>
  <c r="D9" i="1"/>
  <c r="E19" i="1"/>
  <c r="F73" i="2"/>
  <c r="L73" i="2"/>
  <c r="F19" i="1"/>
  <c r="G73" i="2"/>
  <c r="M73" i="2"/>
  <c r="D14" i="1"/>
  <c r="E68" i="2"/>
  <c r="K68" i="2"/>
  <c r="D20" i="1"/>
  <c r="E74" i="2"/>
  <c r="K74" i="2"/>
  <c r="I142" i="2"/>
  <c r="I86" i="2"/>
  <c r="C144" i="2"/>
  <c r="C174" i="2"/>
  <c r="D83" i="2"/>
  <c r="D30" i="1"/>
  <c r="E85" i="2"/>
  <c r="F86" i="2"/>
  <c r="L86" i="2"/>
  <c r="E86" i="2"/>
  <c r="K86" i="2"/>
  <c r="D86" i="2"/>
  <c r="J86" i="2"/>
  <c r="E10" i="1"/>
  <c r="D11" i="1"/>
  <c r="I69" i="2"/>
  <c r="J19" i="2"/>
  <c r="I85" i="2"/>
  <c r="J85" i="2"/>
  <c r="I84" i="2"/>
  <c r="J84" i="2"/>
  <c r="K83" i="2"/>
  <c r="I83" i="2"/>
  <c r="J18" i="2"/>
  <c r="E28" i="1"/>
  <c r="E25" i="1"/>
  <c r="F80" i="2"/>
  <c r="L80" i="2"/>
  <c r="D29" i="1"/>
  <c r="E29" i="1"/>
  <c r="E9" i="1"/>
  <c r="J5" i="2"/>
  <c r="J8" i="2"/>
  <c r="J90" i="2"/>
  <c r="E4" i="2"/>
  <c r="F4" i="2"/>
  <c r="G4" i="2"/>
  <c r="M4" i="2"/>
  <c r="D6" i="2"/>
  <c r="E3" i="2"/>
  <c r="E19" i="2"/>
  <c r="E143" i="2"/>
  <c r="C20" i="2"/>
  <c r="E18" i="2"/>
  <c r="I8" i="2"/>
  <c r="I90" i="2"/>
  <c r="F5" i="2"/>
  <c r="L5" i="2"/>
  <c r="E14" i="1"/>
  <c r="E20" i="1"/>
  <c r="F74" i="2"/>
  <c r="L74" i="2"/>
  <c r="C142" i="2"/>
  <c r="J142" i="2"/>
  <c r="J52" i="2"/>
  <c r="D144" i="2"/>
  <c r="D171" i="2"/>
  <c r="J83" i="2"/>
  <c r="C171" i="2"/>
  <c r="E144" i="2"/>
  <c r="E174" i="2"/>
  <c r="K85" i="2"/>
  <c r="C167" i="2"/>
  <c r="E30" i="1"/>
  <c r="F30" i="1"/>
  <c r="G85" i="2"/>
  <c r="F28" i="1"/>
  <c r="G83" i="2"/>
  <c r="F83" i="2"/>
  <c r="E84" i="2"/>
  <c r="F10" i="1"/>
  <c r="F11" i="1"/>
  <c r="E11" i="1"/>
  <c r="C23" i="2"/>
  <c r="K4" i="2"/>
  <c r="F68" i="2"/>
  <c r="L68" i="2"/>
  <c r="F9" i="1"/>
  <c r="L4" i="2"/>
  <c r="D20" i="2"/>
  <c r="K19" i="2"/>
  <c r="F19" i="2"/>
  <c r="F143" i="2"/>
  <c r="F144" i="2"/>
  <c r="F18" i="2"/>
  <c r="K18" i="2"/>
  <c r="F3" i="2"/>
  <c r="E6" i="2"/>
  <c r="K3" i="2"/>
  <c r="K7" i="2"/>
  <c r="G5" i="2"/>
  <c r="F85" i="2"/>
  <c r="F167" i="2"/>
  <c r="J10" i="2"/>
  <c r="F14" i="1"/>
  <c r="G68" i="2"/>
  <c r="M68" i="2"/>
  <c r="F20" i="1"/>
  <c r="G74" i="2"/>
  <c r="M74" i="2"/>
  <c r="D167" i="2"/>
  <c r="D174" i="2"/>
  <c r="D142" i="2"/>
  <c r="D52" i="2"/>
  <c r="K142" i="2"/>
  <c r="K52" i="2"/>
  <c r="E167" i="2"/>
  <c r="L83" i="2"/>
  <c r="F174" i="2"/>
  <c r="M83" i="2"/>
  <c r="L85" i="2"/>
  <c r="K84" i="2"/>
  <c r="E171" i="2"/>
  <c r="M85" i="2"/>
  <c r="C63" i="2"/>
  <c r="C96" i="2"/>
  <c r="F29" i="1"/>
  <c r="G84" i="2"/>
  <c r="F84" i="2"/>
  <c r="D23" i="2"/>
  <c r="K8" i="2"/>
  <c r="K90" i="2"/>
  <c r="E20" i="2"/>
  <c r="G18" i="2"/>
  <c r="L18" i="2"/>
  <c r="M5" i="2"/>
  <c r="G3" i="2"/>
  <c r="F6" i="2"/>
  <c r="L3" i="2"/>
  <c r="L7" i="2"/>
  <c r="G19" i="2"/>
  <c r="G143" i="2"/>
  <c r="G144" i="2"/>
  <c r="G174" i="2"/>
  <c r="L19" i="2"/>
  <c r="J89" i="2"/>
  <c r="J9" i="2"/>
  <c r="J31" i="2"/>
  <c r="G20" i="5"/>
  <c r="I10" i="2"/>
  <c r="I89" i="2"/>
  <c r="L142" i="2"/>
  <c r="L52" i="2"/>
  <c r="D93" i="2"/>
  <c r="E142" i="2"/>
  <c r="E52" i="2"/>
  <c r="G167" i="2"/>
  <c r="M84" i="2"/>
  <c r="G171" i="2"/>
  <c r="C175" i="2"/>
  <c r="C151" i="2"/>
  <c r="L84" i="2"/>
  <c r="F171" i="2"/>
  <c r="C64" i="2"/>
  <c r="C146" i="2"/>
  <c r="D63" i="2"/>
  <c r="D96" i="2"/>
  <c r="E23" i="2"/>
  <c r="M19" i="2"/>
  <c r="M3" i="2"/>
  <c r="M7" i="2"/>
  <c r="G6" i="2"/>
  <c r="M18" i="2"/>
  <c r="L8" i="2"/>
  <c r="L90" i="2"/>
  <c r="F20" i="2"/>
  <c r="J21" i="2"/>
  <c r="J11" i="2"/>
  <c r="I9" i="2"/>
  <c r="E12" i="5"/>
  <c r="I31" i="2"/>
  <c r="G19" i="5"/>
  <c r="K10" i="2"/>
  <c r="E13" i="5"/>
  <c r="F142" i="2"/>
  <c r="F52" i="2"/>
  <c r="C97" i="2"/>
  <c r="E93" i="2"/>
  <c r="D101" i="2"/>
  <c r="D117" i="2"/>
  <c r="D121" i="2"/>
  <c r="D124" i="2"/>
  <c r="D125" i="2"/>
  <c r="M142" i="2"/>
  <c r="M52" i="2"/>
  <c r="D55" i="2"/>
  <c r="C65" i="2"/>
  <c r="C148" i="2"/>
  <c r="C172" i="2"/>
  <c r="C152" i="2"/>
  <c r="C162" i="2"/>
  <c r="C186" i="2"/>
  <c r="D175" i="2"/>
  <c r="D151" i="2"/>
  <c r="D64" i="2"/>
  <c r="D102" i="2"/>
  <c r="D146" i="2"/>
  <c r="C147" i="2"/>
  <c r="E63" i="2"/>
  <c r="E96" i="2"/>
  <c r="F23" i="2"/>
  <c r="M8" i="2"/>
  <c r="M90" i="2"/>
  <c r="G20" i="2"/>
  <c r="J12" i="2"/>
  <c r="J13" i="2"/>
  <c r="J14" i="2"/>
  <c r="J22" i="2"/>
  <c r="J143" i="2"/>
  <c r="J144" i="2"/>
  <c r="J167" i="2"/>
  <c r="K89" i="2"/>
  <c r="K9" i="2"/>
  <c r="I21" i="2"/>
  <c r="C52" i="2"/>
  <c r="C57" i="2"/>
  <c r="I52" i="2"/>
  <c r="I11" i="2"/>
  <c r="K31" i="2"/>
  <c r="G21" i="5"/>
  <c r="L10" i="2"/>
  <c r="C163" i="2"/>
  <c r="C187" i="2"/>
  <c r="E55" i="2"/>
  <c r="G142" i="2"/>
  <c r="G52" i="2"/>
  <c r="C98" i="2"/>
  <c r="D123" i="2"/>
  <c r="D97" i="2"/>
  <c r="D56" i="2"/>
  <c r="D122" i="2"/>
  <c r="E101" i="2"/>
  <c r="E124" i="2"/>
  <c r="E125" i="2"/>
  <c r="E117" i="2"/>
  <c r="E121" i="2"/>
  <c r="D112" i="2"/>
  <c r="D136" i="2"/>
  <c r="D113" i="2"/>
  <c r="D137" i="2"/>
  <c r="F93" i="2"/>
  <c r="D152" i="2"/>
  <c r="D172" i="2"/>
  <c r="E151" i="2"/>
  <c r="E175" i="2"/>
  <c r="C153" i="2"/>
  <c r="C158" i="2"/>
  <c r="C182" i="2"/>
  <c r="C168" i="2"/>
  <c r="D65" i="2"/>
  <c r="D147" i="2"/>
  <c r="E64" i="2"/>
  <c r="E123" i="2"/>
  <c r="E146" i="2"/>
  <c r="F63" i="2"/>
  <c r="F96" i="2"/>
  <c r="G23" i="2"/>
  <c r="J23" i="2"/>
  <c r="J63" i="2"/>
  <c r="J55" i="2"/>
  <c r="J171" i="2"/>
  <c r="J15" i="2"/>
  <c r="J33" i="2"/>
  <c r="H20" i="5"/>
  <c r="J174" i="2"/>
  <c r="J93" i="2"/>
  <c r="J124" i="2"/>
  <c r="I12" i="2"/>
  <c r="I13" i="2"/>
  <c r="I14" i="2"/>
  <c r="I22" i="2"/>
  <c r="K21" i="2"/>
  <c r="K11" i="2"/>
  <c r="L89" i="2"/>
  <c r="L9" i="2"/>
  <c r="L21" i="2"/>
  <c r="C93" i="2"/>
  <c r="C56" i="2"/>
  <c r="C55" i="2"/>
  <c r="L31" i="2"/>
  <c r="G22" i="5"/>
  <c r="C155" i="2"/>
  <c r="C179" i="2"/>
  <c r="C156" i="2"/>
  <c r="C180" i="2"/>
  <c r="C157" i="2"/>
  <c r="C181" i="2"/>
  <c r="C160" i="2"/>
  <c r="C184" i="2"/>
  <c r="C161" i="2"/>
  <c r="C185" i="2"/>
  <c r="E122" i="2"/>
  <c r="E102" i="2"/>
  <c r="C159" i="2"/>
  <c r="C183" i="2"/>
  <c r="F101" i="2"/>
  <c r="F117" i="2"/>
  <c r="F124" i="2"/>
  <c r="F125" i="2"/>
  <c r="F121" i="2"/>
  <c r="E97" i="2"/>
  <c r="E56" i="2"/>
  <c r="G93" i="2"/>
  <c r="D98" i="2"/>
  <c r="D57" i="2"/>
  <c r="D59" i="2"/>
  <c r="D45" i="2"/>
  <c r="D120" i="2"/>
  <c r="D103" i="2"/>
  <c r="D119" i="2"/>
  <c r="D118" i="2"/>
  <c r="F55" i="2"/>
  <c r="F175" i="2"/>
  <c r="F151" i="2"/>
  <c r="D168" i="2"/>
  <c r="D153" i="2"/>
  <c r="D161" i="2"/>
  <c r="D185" i="2"/>
  <c r="E152" i="2"/>
  <c r="E163" i="2"/>
  <c r="E187" i="2"/>
  <c r="E172" i="2"/>
  <c r="D162" i="2"/>
  <c r="D186" i="2"/>
  <c r="D148" i="2"/>
  <c r="F64" i="2"/>
  <c r="F146" i="2"/>
  <c r="D163" i="2"/>
  <c r="D187" i="2"/>
  <c r="E65" i="2"/>
  <c r="E147" i="2"/>
  <c r="G63" i="2"/>
  <c r="G96" i="2"/>
  <c r="J146" i="2"/>
  <c r="J64" i="2"/>
  <c r="J97" i="2"/>
  <c r="K12" i="2"/>
  <c r="K13" i="2"/>
  <c r="J125" i="2"/>
  <c r="J117" i="2"/>
  <c r="J121" i="2"/>
  <c r="J101" i="2"/>
  <c r="J151" i="2"/>
  <c r="J175" i="2"/>
  <c r="J96" i="2"/>
  <c r="I15" i="2"/>
  <c r="I33" i="2"/>
  <c r="H19" i="5"/>
  <c r="L11" i="2"/>
  <c r="L12" i="2"/>
  <c r="C59" i="2"/>
  <c r="C45" i="2"/>
  <c r="C101" i="2"/>
  <c r="C117" i="2"/>
  <c r="C124" i="2"/>
  <c r="C125" i="2"/>
  <c r="C122" i="2"/>
  <c r="C121" i="2"/>
  <c r="C123" i="2"/>
  <c r="C102" i="2"/>
  <c r="C119" i="2"/>
  <c r="C103" i="2"/>
  <c r="C120" i="2"/>
  <c r="C118" i="2"/>
  <c r="I143" i="2"/>
  <c r="I144" i="2"/>
  <c r="I23" i="2"/>
  <c r="I63" i="2"/>
  <c r="I93" i="2"/>
  <c r="D159" i="2"/>
  <c r="D183" i="2"/>
  <c r="C189" i="2"/>
  <c r="C47" i="2"/>
  <c r="F97" i="2"/>
  <c r="F56" i="2"/>
  <c r="D108" i="2"/>
  <c r="D132" i="2"/>
  <c r="D106" i="2"/>
  <c r="D130" i="2"/>
  <c r="D107" i="2"/>
  <c r="D131" i="2"/>
  <c r="D105" i="2"/>
  <c r="D129" i="2"/>
  <c r="D110" i="2"/>
  <c r="D134" i="2"/>
  <c r="D111" i="2"/>
  <c r="D135" i="2"/>
  <c r="D109" i="2"/>
  <c r="D133" i="2"/>
  <c r="E112" i="2"/>
  <c r="E136" i="2"/>
  <c r="F123" i="2"/>
  <c r="G101" i="2"/>
  <c r="G117" i="2"/>
  <c r="G125" i="2"/>
  <c r="G124" i="2"/>
  <c r="G121" i="2"/>
  <c r="E98" i="2"/>
  <c r="E57" i="2"/>
  <c r="E59" i="2"/>
  <c r="E45" i="2"/>
  <c r="E103" i="2"/>
  <c r="E111" i="2"/>
  <c r="E135" i="2"/>
  <c r="E119" i="2"/>
  <c r="E120" i="2"/>
  <c r="E118" i="2"/>
  <c r="F102" i="2"/>
  <c r="F112" i="2"/>
  <c r="F136" i="2"/>
  <c r="G55" i="2"/>
  <c r="E113" i="2"/>
  <c r="E137" i="2"/>
  <c r="F122" i="2"/>
  <c r="E153" i="2"/>
  <c r="E160" i="2"/>
  <c r="E184" i="2"/>
  <c r="E168" i="2"/>
  <c r="F172" i="2"/>
  <c r="F152" i="2"/>
  <c r="F162" i="2"/>
  <c r="F186" i="2"/>
  <c r="G151" i="2"/>
  <c r="G175" i="2"/>
  <c r="F65" i="2"/>
  <c r="F147" i="2"/>
  <c r="E162" i="2"/>
  <c r="E186" i="2"/>
  <c r="G64" i="2"/>
  <c r="G102" i="2"/>
  <c r="G146" i="2"/>
  <c r="E148" i="2"/>
  <c r="D155" i="2"/>
  <c r="D179" i="2"/>
  <c r="D157" i="2"/>
  <c r="D181" i="2"/>
  <c r="D158" i="2"/>
  <c r="D182" i="2"/>
  <c r="D156" i="2"/>
  <c r="D180" i="2"/>
  <c r="D160" i="2"/>
  <c r="D184" i="2"/>
  <c r="J147" i="2"/>
  <c r="J152" i="2"/>
  <c r="J162" i="2"/>
  <c r="J186" i="2"/>
  <c r="J172" i="2"/>
  <c r="J65" i="2"/>
  <c r="J148" i="2"/>
  <c r="J122" i="2"/>
  <c r="J102" i="2"/>
  <c r="J113" i="2"/>
  <c r="J137" i="2"/>
  <c r="J56" i="2"/>
  <c r="J123" i="2"/>
  <c r="K14" i="2"/>
  <c r="K22" i="2"/>
  <c r="J163" i="2"/>
  <c r="J187" i="2"/>
  <c r="L13" i="2"/>
  <c r="L14" i="2"/>
  <c r="L22" i="2"/>
  <c r="C112" i="2"/>
  <c r="C136" i="2"/>
  <c r="C110" i="2"/>
  <c r="C134" i="2"/>
  <c r="C109" i="2"/>
  <c r="C133" i="2"/>
  <c r="C111" i="2"/>
  <c r="C135" i="2"/>
  <c r="C106" i="2"/>
  <c r="C130" i="2"/>
  <c r="C105" i="2"/>
  <c r="C129" i="2"/>
  <c r="C108" i="2"/>
  <c r="C132" i="2"/>
  <c r="C107" i="2"/>
  <c r="C131" i="2"/>
  <c r="C113" i="2"/>
  <c r="C137" i="2"/>
  <c r="I167" i="2"/>
  <c r="I171" i="2"/>
  <c r="I174" i="2"/>
  <c r="I151" i="2"/>
  <c r="I175" i="2"/>
  <c r="I117" i="2"/>
  <c r="I124" i="2"/>
  <c r="I125" i="2"/>
  <c r="I121" i="2"/>
  <c r="I101" i="2"/>
  <c r="I96" i="2"/>
  <c r="I146" i="2"/>
  <c r="I64" i="2"/>
  <c r="I172" i="2"/>
  <c r="I55" i="2"/>
  <c r="F113" i="2"/>
  <c r="F137" i="2"/>
  <c r="G122" i="2"/>
  <c r="D139" i="2"/>
  <c r="D46" i="2"/>
  <c r="F98" i="2"/>
  <c r="F57" i="2"/>
  <c r="F59" i="2"/>
  <c r="F45" i="2"/>
  <c r="F103" i="2"/>
  <c r="F109" i="2"/>
  <c r="F133" i="2"/>
  <c r="F118" i="2"/>
  <c r="F119" i="2"/>
  <c r="F120" i="2"/>
  <c r="G97" i="2"/>
  <c r="G56" i="2"/>
  <c r="E109" i="2"/>
  <c r="E133" i="2"/>
  <c r="E107" i="2"/>
  <c r="E131" i="2"/>
  <c r="E108" i="2"/>
  <c r="E132" i="2"/>
  <c r="E106" i="2"/>
  <c r="E130" i="2"/>
  <c r="E105" i="2"/>
  <c r="E129" i="2"/>
  <c r="G123" i="2"/>
  <c r="G112" i="2"/>
  <c r="G136" i="2"/>
  <c r="G113" i="2"/>
  <c r="G137" i="2"/>
  <c r="E110" i="2"/>
  <c r="E134" i="2"/>
  <c r="G172" i="2"/>
  <c r="G152" i="2"/>
  <c r="G162" i="2"/>
  <c r="G186" i="2"/>
  <c r="F168" i="2"/>
  <c r="F153" i="2"/>
  <c r="F159" i="2"/>
  <c r="F183" i="2"/>
  <c r="F163" i="2"/>
  <c r="F187" i="2"/>
  <c r="E159" i="2"/>
  <c r="E183" i="2"/>
  <c r="D189" i="2"/>
  <c r="D47" i="2"/>
  <c r="E158" i="2"/>
  <c r="E182" i="2"/>
  <c r="E156" i="2"/>
  <c r="E180" i="2"/>
  <c r="E161" i="2"/>
  <c r="E185" i="2"/>
  <c r="E155" i="2"/>
  <c r="E179" i="2"/>
  <c r="E157" i="2"/>
  <c r="E181" i="2"/>
  <c r="G65" i="2"/>
  <c r="G147" i="2"/>
  <c r="F148" i="2"/>
  <c r="J120" i="2"/>
  <c r="J98" i="2"/>
  <c r="J153" i="2"/>
  <c r="J155" i="2"/>
  <c r="J179" i="2"/>
  <c r="J168" i="2"/>
  <c r="J57" i="2"/>
  <c r="J59" i="2"/>
  <c r="J45" i="2"/>
  <c r="J119" i="2"/>
  <c r="J103" i="2"/>
  <c r="J109" i="2"/>
  <c r="J133" i="2"/>
  <c r="J118" i="2"/>
  <c r="J112" i="2"/>
  <c r="J136" i="2"/>
  <c r="K15" i="2"/>
  <c r="K33" i="2"/>
  <c r="H21" i="5"/>
  <c r="K143" i="2"/>
  <c r="K144" i="2"/>
  <c r="K93" i="2"/>
  <c r="K23" i="2"/>
  <c r="K63" i="2"/>
  <c r="C139" i="2"/>
  <c r="C46" i="2"/>
  <c r="C48" i="2"/>
  <c r="C25" i="2"/>
  <c r="C26" i="2"/>
  <c r="C49" i="2"/>
  <c r="C50" i="2"/>
  <c r="I123" i="2"/>
  <c r="I102" i="2"/>
  <c r="I113" i="2"/>
  <c r="I137" i="2"/>
  <c r="I97" i="2"/>
  <c r="I56" i="2"/>
  <c r="I147" i="2"/>
  <c r="I65" i="2"/>
  <c r="I122" i="2"/>
  <c r="L93" i="2"/>
  <c r="L143" i="2"/>
  <c r="L144" i="2"/>
  <c r="L23" i="2"/>
  <c r="L63" i="2"/>
  <c r="L15" i="2"/>
  <c r="L33" i="2"/>
  <c r="H22" i="5"/>
  <c r="I152" i="2"/>
  <c r="D48" i="2"/>
  <c r="D25" i="2"/>
  <c r="F111" i="2"/>
  <c r="F135" i="2"/>
  <c r="G98" i="2"/>
  <c r="G57" i="2"/>
  <c r="G59" i="2"/>
  <c r="G45" i="2"/>
  <c r="G119" i="2"/>
  <c r="G120" i="2"/>
  <c r="G103" i="2"/>
  <c r="G118" i="2"/>
  <c r="F107" i="2"/>
  <c r="F131" i="2"/>
  <c r="F105" i="2"/>
  <c r="F129" i="2"/>
  <c r="F108" i="2"/>
  <c r="F132" i="2"/>
  <c r="F106" i="2"/>
  <c r="F130" i="2"/>
  <c r="E139" i="2"/>
  <c r="E46" i="2"/>
  <c r="F110" i="2"/>
  <c r="F134" i="2"/>
  <c r="G153" i="2"/>
  <c r="G160" i="2"/>
  <c r="G184" i="2"/>
  <c r="G168" i="2"/>
  <c r="E189" i="2"/>
  <c r="E47" i="2"/>
  <c r="F155" i="2"/>
  <c r="F179" i="2"/>
  <c r="F156" i="2"/>
  <c r="F180" i="2"/>
  <c r="F157" i="2"/>
  <c r="F181" i="2"/>
  <c r="F161" i="2"/>
  <c r="F185" i="2"/>
  <c r="F158" i="2"/>
  <c r="F182" i="2"/>
  <c r="G148" i="2"/>
  <c r="G163" i="2"/>
  <c r="G187" i="2"/>
  <c r="F160" i="2"/>
  <c r="F184" i="2"/>
  <c r="J110" i="2"/>
  <c r="J134" i="2"/>
  <c r="J108" i="2"/>
  <c r="J132" i="2"/>
  <c r="J107" i="2"/>
  <c r="J131" i="2"/>
  <c r="J158" i="2"/>
  <c r="J182" i="2"/>
  <c r="J106" i="2"/>
  <c r="J130" i="2"/>
  <c r="J111" i="2"/>
  <c r="J135" i="2"/>
  <c r="J159" i="2"/>
  <c r="J183" i="2"/>
  <c r="J157" i="2"/>
  <c r="J181" i="2"/>
  <c r="J160" i="2"/>
  <c r="J184" i="2"/>
  <c r="J156" i="2"/>
  <c r="J180" i="2"/>
  <c r="J161" i="2"/>
  <c r="J185" i="2"/>
  <c r="J105" i="2"/>
  <c r="J129" i="2"/>
  <c r="K171" i="2"/>
  <c r="K151" i="2"/>
  <c r="K175" i="2"/>
  <c r="K167" i="2"/>
  <c r="K174" i="2"/>
  <c r="K96" i="2"/>
  <c r="K64" i="2"/>
  <c r="K55" i="2"/>
  <c r="K146" i="2"/>
  <c r="K101" i="2"/>
  <c r="K125" i="2"/>
  <c r="K121" i="2"/>
  <c r="K124" i="2"/>
  <c r="K117" i="2"/>
  <c r="D26" i="2"/>
  <c r="D49" i="2"/>
  <c r="D50" i="2"/>
  <c r="C27" i="2"/>
  <c r="I112" i="2"/>
  <c r="I136" i="2"/>
  <c r="I163" i="2"/>
  <c r="I187" i="2"/>
  <c r="I162" i="2"/>
  <c r="I186" i="2"/>
  <c r="L125" i="2"/>
  <c r="L55" i="2"/>
  <c r="L64" i="2"/>
  <c r="L146" i="2"/>
  <c r="L96" i="2"/>
  <c r="I98" i="2"/>
  <c r="I118" i="2"/>
  <c r="I57" i="2"/>
  <c r="I59" i="2"/>
  <c r="I45" i="2"/>
  <c r="I119" i="2"/>
  <c r="I148" i="2"/>
  <c r="I103" i="2"/>
  <c r="I153" i="2"/>
  <c r="I159" i="2"/>
  <c r="I183" i="2"/>
  <c r="I168" i="2"/>
  <c r="I120" i="2"/>
  <c r="L167" i="2"/>
  <c r="L174" i="2"/>
  <c r="L171" i="2"/>
  <c r="L151" i="2"/>
  <c r="L175" i="2"/>
  <c r="L121" i="2"/>
  <c r="L117" i="2"/>
  <c r="L124" i="2"/>
  <c r="L101" i="2"/>
  <c r="E48" i="2"/>
  <c r="E25" i="2"/>
  <c r="F139" i="2"/>
  <c r="F46" i="2"/>
  <c r="G105" i="2"/>
  <c r="G129" i="2"/>
  <c r="G108" i="2"/>
  <c r="G132" i="2"/>
  <c r="G106" i="2"/>
  <c r="G130" i="2"/>
  <c r="G107" i="2"/>
  <c r="G131" i="2"/>
  <c r="G109" i="2"/>
  <c r="G133" i="2"/>
  <c r="G110" i="2"/>
  <c r="G134" i="2"/>
  <c r="G111" i="2"/>
  <c r="G135" i="2"/>
  <c r="F189" i="2"/>
  <c r="F47" i="2"/>
  <c r="G155" i="2"/>
  <c r="G179" i="2"/>
  <c r="G157" i="2"/>
  <c r="G181" i="2"/>
  <c r="G156" i="2"/>
  <c r="G180" i="2"/>
  <c r="G161" i="2"/>
  <c r="G185" i="2"/>
  <c r="G158" i="2"/>
  <c r="G182" i="2"/>
  <c r="G159" i="2"/>
  <c r="G183" i="2"/>
  <c r="J189" i="2"/>
  <c r="J47" i="2"/>
  <c r="J139" i="2"/>
  <c r="J46" i="2"/>
  <c r="K102" i="2"/>
  <c r="K113" i="2"/>
  <c r="K137" i="2"/>
  <c r="K122" i="2"/>
  <c r="K97" i="2"/>
  <c r="K152" i="2"/>
  <c r="K163" i="2"/>
  <c r="K187" i="2"/>
  <c r="K147" i="2"/>
  <c r="K172" i="2"/>
  <c r="K123" i="2"/>
  <c r="K56" i="2"/>
  <c r="K65" i="2"/>
  <c r="E26" i="2"/>
  <c r="E49" i="2"/>
  <c r="E50" i="2"/>
  <c r="D19" i="5"/>
  <c r="C29" i="2"/>
  <c r="C19" i="5"/>
  <c r="C38" i="2"/>
  <c r="D27" i="2"/>
  <c r="I157" i="2"/>
  <c r="I181" i="2"/>
  <c r="I155" i="2"/>
  <c r="I179" i="2"/>
  <c r="I158" i="2"/>
  <c r="I182" i="2"/>
  <c r="I156" i="2"/>
  <c r="I180" i="2"/>
  <c r="I111" i="2"/>
  <c r="I135" i="2"/>
  <c r="I107" i="2"/>
  <c r="I131" i="2"/>
  <c r="I105" i="2"/>
  <c r="I129" i="2"/>
  <c r="I108" i="2"/>
  <c r="I132" i="2"/>
  <c r="I106" i="2"/>
  <c r="I130" i="2"/>
  <c r="I110" i="2"/>
  <c r="I134" i="2"/>
  <c r="I109" i="2"/>
  <c r="I133" i="2"/>
  <c r="L102" i="2"/>
  <c r="L97" i="2"/>
  <c r="L123" i="2"/>
  <c r="L152" i="2"/>
  <c r="L163" i="2"/>
  <c r="L187" i="2"/>
  <c r="L147" i="2"/>
  <c r="L56" i="2"/>
  <c r="L172" i="2"/>
  <c r="L65" i="2"/>
  <c r="L122" i="2"/>
  <c r="I161" i="2"/>
  <c r="I185" i="2"/>
  <c r="I160" i="2"/>
  <c r="I184" i="2"/>
  <c r="F48" i="2"/>
  <c r="F25" i="2"/>
  <c r="G139" i="2"/>
  <c r="G46" i="2"/>
  <c r="G189" i="2"/>
  <c r="G47" i="2"/>
  <c r="J48" i="2"/>
  <c r="J25" i="2"/>
  <c r="J26" i="2"/>
  <c r="J49" i="2"/>
  <c r="J50" i="2"/>
  <c r="K112" i="2"/>
  <c r="K136" i="2"/>
  <c r="K57" i="2"/>
  <c r="K59" i="2"/>
  <c r="K45" i="2"/>
  <c r="K153" i="2"/>
  <c r="K160" i="2"/>
  <c r="K184" i="2"/>
  <c r="K148" i="2"/>
  <c r="K103" i="2"/>
  <c r="K98" i="2"/>
  <c r="K119" i="2"/>
  <c r="K120" i="2"/>
  <c r="K118" i="2"/>
  <c r="K168" i="2"/>
  <c r="K162" i="2"/>
  <c r="K186" i="2"/>
  <c r="D29" i="2"/>
  <c r="C20" i="5"/>
  <c r="D20" i="5"/>
  <c r="D38" i="2"/>
  <c r="F26" i="2"/>
  <c r="F49" i="2"/>
  <c r="F50" i="2"/>
  <c r="E27" i="2"/>
  <c r="L162" i="2"/>
  <c r="L186" i="2"/>
  <c r="I189" i="2"/>
  <c r="I47" i="2"/>
  <c r="L112" i="2"/>
  <c r="L136" i="2"/>
  <c r="L113" i="2"/>
  <c r="L137" i="2"/>
  <c r="L103" i="2"/>
  <c r="L168" i="2"/>
  <c r="L98" i="2"/>
  <c r="L120" i="2"/>
  <c r="L153" i="2"/>
  <c r="L57" i="2"/>
  <c r="L59" i="2"/>
  <c r="L45" i="2"/>
  <c r="L119" i="2"/>
  <c r="L118" i="2"/>
  <c r="L148" i="2"/>
  <c r="I139" i="2"/>
  <c r="I46" i="2"/>
  <c r="G48" i="2"/>
  <c r="G25" i="2"/>
  <c r="J27" i="2"/>
  <c r="J29" i="2"/>
  <c r="J35" i="2"/>
  <c r="J38" i="2"/>
  <c r="J20" i="5"/>
  <c r="K158" i="2"/>
  <c r="K182" i="2"/>
  <c r="K156" i="2"/>
  <c r="K180" i="2"/>
  <c r="K157" i="2"/>
  <c r="K181" i="2"/>
  <c r="K155" i="2"/>
  <c r="K179" i="2"/>
  <c r="K161" i="2"/>
  <c r="K185" i="2"/>
  <c r="K109" i="2"/>
  <c r="K133" i="2"/>
  <c r="K106" i="2"/>
  <c r="K130" i="2"/>
  <c r="K111" i="2"/>
  <c r="K135" i="2"/>
  <c r="K108" i="2"/>
  <c r="K132" i="2"/>
  <c r="K105" i="2"/>
  <c r="K129" i="2"/>
  <c r="K110" i="2"/>
  <c r="K134" i="2"/>
  <c r="K107" i="2"/>
  <c r="K131" i="2"/>
  <c r="K159" i="2"/>
  <c r="K183" i="2"/>
  <c r="E29" i="2"/>
  <c r="C21" i="5"/>
  <c r="D21" i="5"/>
  <c r="E38" i="2"/>
  <c r="G26" i="2"/>
  <c r="G49" i="2"/>
  <c r="G50" i="2"/>
  <c r="F27" i="2"/>
  <c r="L106" i="2"/>
  <c r="L130" i="2"/>
  <c r="L107" i="2"/>
  <c r="L131" i="2"/>
  <c r="L108" i="2"/>
  <c r="L132" i="2"/>
  <c r="L105" i="2"/>
  <c r="L129" i="2"/>
  <c r="L111" i="2"/>
  <c r="L135" i="2"/>
  <c r="I48" i="2"/>
  <c r="L160" i="2"/>
  <c r="L184" i="2"/>
  <c r="L159" i="2"/>
  <c r="L183" i="2"/>
  <c r="L161" i="2"/>
  <c r="L185" i="2"/>
  <c r="L158" i="2"/>
  <c r="L182" i="2"/>
  <c r="L155" i="2"/>
  <c r="L179" i="2"/>
  <c r="L157" i="2"/>
  <c r="L181" i="2"/>
  <c r="L156" i="2"/>
  <c r="L180" i="2"/>
  <c r="L110" i="2"/>
  <c r="L134" i="2"/>
  <c r="L109" i="2"/>
  <c r="L133" i="2"/>
  <c r="K189" i="2"/>
  <c r="K47" i="2"/>
  <c r="K139" i="2"/>
  <c r="K46" i="2"/>
  <c r="F20" i="5"/>
  <c r="I20" i="5"/>
  <c r="F29" i="2"/>
  <c r="C22" i="5"/>
  <c r="F38" i="2"/>
  <c r="D22" i="5"/>
  <c r="G27" i="2"/>
  <c r="G29" i="2"/>
  <c r="L189" i="2"/>
  <c r="L47" i="2"/>
  <c r="L139" i="2"/>
  <c r="L46" i="2"/>
  <c r="I25" i="2"/>
  <c r="I26" i="2"/>
  <c r="I49" i="2"/>
  <c r="I50" i="2"/>
  <c r="K48" i="2"/>
  <c r="K25" i="2"/>
  <c r="K26" i="2"/>
  <c r="K49" i="2"/>
  <c r="K50" i="2"/>
  <c r="D23" i="5"/>
  <c r="G38" i="2"/>
  <c r="C23" i="5"/>
  <c r="L48" i="2"/>
  <c r="L25" i="2"/>
  <c r="I38" i="2"/>
  <c r="J19" i="5"/>
  <c r="I27" i="2"/>
  <c r="K38" i="2"/>
  <c r="J21" i="5"/>
  <c r="K27" i="2"/>
  <c r="K29" i="2"/>
  <c r="K35" i="2"/>
  <c r="I29" i="2"/>
  <c r="I35" i="2"/>
  <c r="L38" i="2"/>
  <c r="J22" i="5"/>
  <c r="L26" i="2"/>
  <c r="L49" i="2"/>
  <c r="L50" i="2"/>
  <c r="F21" i="5"/>
  <c r="I21" i="5"/>
  <c r="F19" i="5"/>
  <c r="I19" i="5"/>
  <c r="L27" i="2"/>
  <c r="L29" i="2"/>
  <c r="L35" i="2"/>
  <c r="M10" i="2"/>
  <c r="F22" i="5"/>
  <c r="I22" i="5"/>
  <c r="M31" i="2"/>
  <c r="G23" i="5"/>
  <c r="M89" i="2"/>
  <c r="M9" i="2"/>
  <c r="M21" i="2"/>
  <c r="M11" i="2"/>
  <c r="M12" i="2"/>
  <c r="M13" i="2"/>
  <c r="M14" i="2"/>
  <c r="M22" i="2"/>
  <c r="M15" i="2"/>
  <c r="M33" i="2"/>
  <c r="H23" i="5"/>
  <c r="M93" i="2"/>
  <c r="M143" i="2"/>
  <c r="M144" i="2"/>
  <c r="M23" i="2"/>
  <c r="M63" i="2"/>
  <c r="M146" i="2"/>
  <c r="M55" i="2"/>
  <c r="M96" i="2"/>
  <c r="M64" i="2"/>
  <c r="M152" i="2"/>
  <c r="M175" i="2"/>
  <c r="M167" i="2"/>
  <c r="M171" i="2"/>
  <c r="M151" i="2"/>
  <c r="M174" i="2"/>
  <c r="M101" i="2"/>
  <c r="M117" i="2"/>
  <c r="M125" i="2"/>
  <c r="M121" i="2"/>
  <c r="M124" i="2"/>
  <c r="M122" i="2"/>
  <c r="M123" i="2"/>
  <c r="M172" i="2"/>
  <c r="M102" i="2"/>
  <c r="M113" i="2"/>
  <c r="M137" i="2"/>
  <c r="M163" i="2"/>
  <c r="M187" i="2"/>
  <c r="M162" i="2"/>
  <c r="M186" i="2"/>
  <c r="M97" i="2"/>
  <c r="M65" i="2"/>
  <c r="M147" i="2"/>
  <c r="M56" i="2"/>
  <c r="M112" i="2"/>
  <c r="M136" i="2"/>
  <c r="M98" i="2"/>
  <c r="M148" i="2"/>
  <c r="M57" i="2"/>
  <c r="M59" i="2"/>
  <c r="M45" i="2"/>
  <c r="M153" i="2"/>
  <c r="M118" i="2"/>
  <c r="M168" i="2"/>
  <c r="M120" i="2"/>
  <c r="M103" i="2"/>
  <c r="M119" i="2"/>
  <c r="M107" i="2"/>
  <c r="M131" i="2"/>
  <c r="M106" i="2"/>
  <c r="M130" i="2"/>
  <c r="M105" i="2"/>
  <c r="M129" i="2"/>
  <c r="M108" i="2"/>
  <c r="M132" i="2"/>
  <c r="M109" i="2"/>
  <c r="M133" i="2"/>
  <c r="M111" i="2"/>
  <c r="M135" i="2"/>
  <c r="M110" i="2"/>
  <c r="M134" i="2"/>
  <c r="M155" i="2"/>
  <c r="M179" i="2"/>
  <c r="M156" i="2"/>
  <c r="M180" i="2"/>
  <c r="M157" i="2"/>
  <c r="M181" i="2"/>
  <c r="M158" i="2"/>
  <c r="M182" i="2"/>
  <c r="M160" i="2"/>
  <c r="M184" i="2"/>
  <c r="M159" i="2"/>
  <c r="M183" i="2"/>
  <c r="M161" i="2"/>
  <c r="M185" i="2"/>
  <c r="M139" i="2"/>
  <c r="M46" i="2"/>
  <c r="M189" i="2"/>
  <c r="M47" i="2"/>
  <c r="M48" i="2"/>
  <c r="M25" i="2"/>
  <c r="M26" i="2"/>
  <c r="M49" i="2"/>
  <c r="M50" i="2"/>
  <c r="M38" i="2"/>
  <c r="J23" i="5"/>
  <c r="M27" i="2"/>
  <c r="M29" i="2"/>
  <c r="M35" i="2"/>
  <c r="F23" i="5"/>
  <c r="I23" i="5"/>
  <c r="A92" i="3" l="1"/>
  <c r="C30" i="3" s="1"/>
  <c r="A128" i="3"/>
  <c r="A126" i="3"/>
  <c r="C64" i="3" s="1"/>
  <c r="A123" i="3"/>
  <c r="C61" i="3" s="1"/>
  <c r="A120" i="3"/>
  <c r="C58" i="3" s="1"/>
  <c r="A114" i="3"/>
  <c r="C52" i="3" s="1"/>
  <c r="A109" i="3"/>
  <c r="C47" i="3" s="1"/>
  <c r="A103" i="3"/>
  <c r="C41" i="3" s="1"/>
  <c r="C77" i="3"/>
  <c r="A125" i="3"/>
  <c r="C63" i="3" s="1"/>
  <c r="A119" i="3"/>
  <c r="C57" i="3" s="1"/>
  <c r="A116" i="3"/>
  <c r="C54" i="3" s="1"/>
  <c r="A113" i="3"/>
  <c r="C51" i="3" s="1"/>
  <c r="A110" i="3"/>
  <c r="C48" i="3" s="1"/>
  <c r="A107" i="3"/>
  <c r="C45" i="3" s="1"/>
  <c r="A104" i="3"/>
  <c r="C42" i="3" s="1"/>
  <c r="D127" i="3"/>
  <c r="D115" i="3"/>
  <c r="A102" i="3"/>
  <c r="C40" i="3" s="1"/>
  <c r="C76" i="3"/>
  <c r="A129" i="3"/>
  <c r="A124" i="3"/>
  <c r="C62" i="3" s="1"/>
  <c r="A121" i="3"/>
  <c r="C59" i="3" s="1"/>
  <c r="A118" i="3"/>
  <c r="C56" i="3" s="1"/>
  <c r="A112" i="3"/>
  <c r="C50" i="3" s="1"/>
  <c r="A94" i="3"/>
  <c r="C32" i="3" s="1"/>
  <c r="A97" i="3"/>
  <c r="C35" i="3" s="1"/>
  <c r="A99" i="3"/>
  <c r="C37" i="3" s="1"/>
  <c r="A96" i="3"/>
  <c r="C34" i="3" s="1"/>
  <c r="A95" i="3"/>
  <c r="C33" i="3" s="1"/>
  <c r="A98" i="3"/>
  <c r="C36" i="3" s="1"/>
  <c r="B133" i="3"/>
  <c r="A101" i="3"/>
  <c r="C39" i="3" s="1"/>
  <c r="D101" i="3"/>
  <c r="D133" i="3" s="1"/>
  <c r="C3" i="3"/>
  <c r="A91" i="3"/>
  <c r="C133" i="3"/>
  <c r="E133" i="3" s="1"/>
  <c r="E134" i="3" l="1"/>
  <c r="E140" i="3"/>
  <c r="E139" i="3"/>
  <c r="C134" i="3"/>
  <c r="A136" i="3"/>
  <c r="C29" i="3"/>
  <c r="D139" i="3" s="1"/>
  <c r="A133" i="3"/>
  <c r="D20" i="3" l="1"/>
  <c r="D142" i="3"/>
  <c r="A134" i="3"/>
  <c r="D19" i="3"/>
  <c r="C137" i="3" l="1"/>
  <c r="A135" i="3"/>
  <c r="B137" i="3" s="1"/>
  <c r="D140" i="3"/>
  <c r="E19" i="3" s="1"/>
  <c r="D141" i="3" l="1"/>
  <c r="D143" i="3" s="1"/>
  <c r="D24" i="3" s="1"/>
  <c r="E141" i="3"/>
  <c r="C2" i="3" l="1"/>
  <c r="C5" i="3" s="1"/>
</calcChain>
</file>

<file path=xl/sharedStrings.xml><?xml version="1.0" encoding="utf-8"?>
<sst xmlns="http://schemas.openxmlformats.org/spreadsheetml/2006/main" count="267" uniqueCount="209">
  <si>
    <t>Tax Bands</t>
  </si>
  <si>
    <t>2017/18</t>
  </si>
  <si>
    <t>2018/19</t>
  </si>
  <si>
    <t>2019/20</t>
  </si>
  <si>
    <t>2020/21</t>
  </si>
  <si>
    <t>Corporation Tax</t>
  </si>
  <si>
    <t>Tax free dividend limit</t>
  </si>
  <si>
    <t>Assumptions - Taxation Rules</t>
  </si>
  <si>
    <t>Dividend Tax Rates on Tax Bands</t>
  </si>
  <si>
    <t>Your income</t>
  </si>
  <si>
    <t>Other Investment Income</t>
  </si>
  <si>
    <t>BTL Rentals</t>
  </si>
  <si>
    <t>Allowable expense deductions</t>
  </si>
  <si>
    <t>Finance cost</t>
  </si>
  <si>
    <t>Additional cost of borrowing in Ltd Company</t>
  </si>
  <si>
    <t>p.a.</t>
  </si>
  <si>
    <t>plus</t>
  </si>
  <si>
    <t>Tapering of Interest Rate Restriction</t>
  </si>
  <si>
    <t>2016/17</t>
  </si>
  <si>
    <t>BTL investment via SPV</t>
  </si>
  <si>
    <t>Additional Accounting costs</t>
  </si>
  <si>
    <t>Taxation</t>
  </si>
  <si>
    <t>Profit after tax</t>
  </si>
  <si>
    <t>Profit retained in SPV</t>
  </si>
  <si>
    <t>Profit if BTL owned directly</t>
  </si>
  <si>
    <t>Taxable income from BTL</t>
  </si>
  <si>
    <t>Dividend income from SPV</t>
  </si>
  <si>
    <t>Taxable income before BTL interest relief</t>
  </si>
  <si>
    <t>Tax on this</t>
  </si>
  <si>
    <t>Less BTL interest relief</t>
  </si>
  <si>
    <t>Total personal tax</t>
  </si>
  <si>
    <t>Withdrawal of Personal allowances - start</t>
  </si>
  <si>
    <t>Withdrawal of Personal allowances - end</t>
  </si>
  <si>
    <t xml:space="preserve">BTL  </t>
  </si>
  <si>
    <t>BTL &amp; Other Income</t>
  </si>
  <si>
    <t>Net income</t>
  </si>
  <si>
    <t>Total indicator</t>
  </si>
  <si>
    <t>Salary + profit indicator</t>
  </si>
  <si>
    <t>Tax</t>
  </si>
  <si>
    <t>Total tax</t>
  </si>
  <si>
    <t>Direct Individual investment</t>
  </si>
  <si>
    <t>Annual increase in bands</t>
  </si>
  <si>
    <t>Annual increase in lower bands applied</t>
  </si>
  <si>
    <t>Total Tax Paid</t>
  </si>
  <si>
    <t>Tax rates already announced by Chancellor</t>
  </si>
  <si>
    <t>Workings</t>
  </si>
  <si>
    <t>n</t>
  </si>
  <si>
    <t>Rate of withdrawal</t>
  </si>
  <si>
    <t>% of turnover</t>
  </si>
  <si>
    <t>SDLT rates - to top limit</t>
  </si>
  <si>
    <t>over</t>
  </si>
  <si>
    <t>Costs of Incorporation</t>
  </si>
  <si>
    <t>Property reference</t>
  </si>
  <si>
    <t>Property Value</t>
  </si>
  <si>
    <t>SDLT</t>
  </si>
  <si>
    <t>Legal</t>
  </si>
  <si>
    <t xml:space="preserve">minimum </t>
  </si>
  <si>
    <t>Miscellaneous</t>
  </si>
  <si>
    <t>Total</t>
  </si>
  <si>
    <t>No Capital Gains Tax provision made - dependant on vendor's circumstances.</t>
  </si>
  <si>
    <t>Legal and Miscellaneous costs dependant upon circumstances</t>
  </si>
  <si>
    <t>No provision made for finance raising costs in SPV</t>
  </si>
  <si>
    <t xml:space="preserve">Profit Retained within Limited Company </t>
  </si>
  <si>
    <t>Limited company incorporation cost</t>
  </si>
  <si>
    <t>Legal Fees for sale to limited company / property</t>
  </si>
  <si>
    <r>
      <t xml:space="preserve">Dividend paid by Ltd Co SPV </t>
    </r>
    <r>
      <rPr>
        <sz val="8"/>
        <color theme="1"/>
        <rFont val="Lucida Sans"/>
        <family val="2"/>
      </rPr>
      <t>- proportion of profit</t>
    </r>
  </si>
  <si>
    <t>Additional Accountancy costs for Ltd Company (estimate)</t>
  </si>
  <si>
    <t>Apply increase to bands Y/ N</t>
  </si>
  <si>
    <t>Notes for Users</t>
  </si>
  <si>
    <t>This page sets out the key legislative parameters.</t>
  </si>
  <si>
    <t>These cells may be changed by the user - but do so with caution!</t>
  </si>
  <si>
    <t>Cells shown in orange should be adjusted by the user based on their own assessment.</t>
  </si>
  <si>
    <t>Other cells may also be adjusted if the user wishes to perform "what if" analysis.</t>
  </si>
  <si>
    <t>in transferring properties into a limited company</t>
  </si>
  <si>
    <t>No estimate is given as to any Capital Gains Tax involved.</t>
  </si>
  <si>
    <t>Multiple properties may be input (up to 39) - it is only necessary to provide</t>
  </si>
  <si>
    <t>the value of each of the properties to be transferred.</t>
  </si>
  <si>
    <t>An assumption of the legal costs involved is set out in the "Legislation" page</t>
  </si>
  <si>
    <r>
      <rPr>
        <b/>
        <u/>
        <sz val="12"/>
        <color theme="10"/>
        <rFont val="Lucida Sans"/>
        <family val="2"/>
      </rPr>
      <t>Legislation</t>
    </r>
    <r>
      <rPr>
        <u/>
        <sz val="10"/>
        <color theme="10"/>
        <rFont val="Lucida Sans"/>
        <family val="2"/>
      </rPr>
      <t xml:space="preserve"> page</t>
    </r>
  </si>
  <si>
    <r>
      <rPr>
        <b/>
        <u/>
        <sz val="12"/>
        <color theme="10"/>
        <rFont val="Lucida Sans"/>
        <family val="2"/>
      </rPr>
      <t>Incorporation costs</t>
    </r>
    <r>
      <rPr>
        <u/>
        <sz val="10"/>
        <color theme="10"/>
        <rFont val="Lucida Sans"/>
        <family val="2"/>
      </rPr>
      <t xml:space="preserve"> page</t>
    </r>
  </si>
  <si>
    <r>
      <rPr>
        <b/>
        <u/>
        <sz val="12"/>
        <color theme="10"/>
        <rFont val="Lucida Sans"/>
        <family val="2"/>
      </rPr>
      <t>Income and Tax</t>
    </r>
    <r>
      <rPr>
        <u/>
        <sz val="10"/>
        <color theme="10"/>
        <rFont val="Lucida Sans"/>
        <family val="2"/>
      </rPr>
      <t xml:space="preserve"> page</t>
    </r>
  </si>
  <si>
    <t>Minimum rate for MDR relief</t>
  </si>
  <si>
    <t>This page provides an estimate of the SDLT, legal and other costs involved</t>
  </si>
  <si>
    <t>Total Net income + Profit Retained</t>
  </si>
  <si>
    <t>-ve</t>
  </si>
  <si>
    <t>However these cells may be overwritten if the user wishes to examine differing scenarios.</t>
  </si>
  <si>
    <t>Cells in grey are set to maintain the same value throughout the five year period.</t>
  </si>
  <si>
    <t>Cells shown in orange should be adjusted by the user based on their own circumstances.</t>
  </si>
  <si>
    <t>PROFESSIONAL TAX ADVICE.  THE RESULTS OBTAINED BY USING THIS CALCULATOR ARE NOT</t>
  </si>
  <si>
    <t>GUARANTEED BY MORTGAGES FOR BUSINESS LIMITED.</t>
  </si>
  <si>
    <t xml:space="preserve">PLEASE NOTE - USE OF THIS CALCULATOR IS NO SUBSTITUTE FOR OBTAINING INDEPENDENT AND </t>
  </si>
  <si>
    <t>Cells shown in green contain data already announced by the Chancellor in July 2015.</t>
  </si>
  <si>
    <t>Summary</t>
  </si>
  <si>
    <t>BTL Profit</t>
  </si>
  <si>
    <r>
      <rPr>
        <b/>
        <u/>
        <sz val="12"/>
        <color theme="10"/>
        <rFont val="Lucida Sans"/>
        <family val="2"/>
      </rPr>
      <t>Summary</t>
    </r>
    <r>
      <rPr>
        <u/>
        <sz val="10"/>
        <color theme="10"/>
        <rFont val="Lucida Sans"/>
        <family val="2"/>
      </rPr>
      <t xml:space="preserve"> page</t>
    </r>
  </si>
  <si>
    <t>This page provides the opportunity to provide a limited amount of information concerning the</t>
  </si>
  <si>
    <t xml:space="preserve">2016 to 2021.  </t>
  </si>
  <si>
    <t>user's personal circumstances and then to see the likely changes in taxation over the period</t>
  </si>
  <si>
    <t>The model will also show the effect of running the portfolio within a limited company.</t>
  </si>
  <si>
    <t xml:space="preserve">More sophisticated analysis is available to the user by changing assumptions on the Legislation </t>
  </si>
  <si>
    <t>page and the Income and Tax page.</t>
  </si>
  <si>
    <t>2016/17 Income and Costs</t>
  </si>
  <si>
    <t>Profit retained within Limited Company</t>
  </si>
  <si>
    <t>Total Net Income + Profit Retained</t>
  </si>
  <si>
    <t>Net (after tax) Income</t>
  </si>
  <si>
    <t>Tax Paid</t>
  </si>
  <si>
    <t>Mortgages for Business Limited</t>
  </si>
  <si>
    <t>This calculator is for Buy to Let Investors to help them to assess the changes to interest cost relief and is no substitute for taking proper tax advice.  No warranty is given by Mortgages for Business Limited as to its accuracy or suitability for individual investors.</t>
  </si>
  <si>
    <t>Basic information on BTL and other income in 2016/17 is all input on the Summary page.</t>
  </si>
  <si>
    <t>Information relating to BTL and other income in 2016/17 should be input via the Summary page</t>
  </si>
  <si>
    <t>Of particular relevance is the field "Dividend paid by Ltd Co SPV" at B11 where changes in</t>
  </si>
  <si>
    <t xml:space="preserve">assumptions may have a marked effect on outcomes. This figure needs to be varied on the </t>
  </si>
  <si>
    <t>"Summary" page.</t>
  </si>
  <si>
    <t>Total Tax</t>
  </si>
  <si>
    <t>Dividend tax allowance reduction</t>
  </si>
  <si>
    <t>Interest allowance</t>
  </si>
  <si>
    <t>Tax Bands - after adj for withdrawal of allowances</t>
  </si>
  <si>
    <t>Other Investment Income (dividends)</t>
  </si>
  <si>
    <t>Taxable income excl dividends</t>
  </si>
  <si>
    <t>Dividends</t>
  </si>
  <si>
    <t>Allowance</t>
  </si>
  <si>
    <t>Before BTL interest allowance and Dividend Allowance</t>
  </si>
  <si>
    <t>Tax payable - non dividend income</t>
  </si>
  <si>
    <t>On salary and profit</t>
  </si>
  <si>
    <t>Tax on dividends</t>
  </si>
  <si>
    <t>Dividend tax allowance adjustment</t>
  </si>
  <si>
    <t>National Insurance</t>
  </si>
  <si>
    <t>ER Rate</t>
  </si>
  <si>
    <t>y</t>
  </si>
  <si>
    <t>on XS</t>
  </si>
  <si>
    <t>over the lower rate band</t>
  </si>
  <si>
    <t xml:space="preserve">Profit of SPV available to owners </t>
  </si>
  <si>
    <t>Profit before tax</t>
  </si>
  <si>
    <t>Salary to be drawn by primary investor from SPV (Yes / No)</t>
  </si>
  <si>
    <t>Salary to be drawn by secondary investor from SPV (Yes / No)</t>
  </si>
  <si>
    <t>Salaries taken by primary owner</t>
  </si>
  <si>
    <t>Salaries taken by secondary owner</t>
  </si>
  <si>
    <t>NI</t>
  </si>
  <si>
    <t xml:space="preserve">Salary </t>
  </si>
  <si>
    <t>Primary investor salary in SPV</t>
  </si>
  <si>
    <t>Secondary investor salary in SPV</t>
  </si>
  <si>
    <t>National Insurance payable on the non SPV salary of the primary investor has been left out of this model in order to reduce complexity.  The amount of this tax would be unaffected by the structuring of the BTL investments.</t>
  </si>
  <si>
    <t>Salary from SPV</t>
  </si>
  <si>
    <t>Net Income of Secondary Owner</t>
  </si>
  <si>
    <t>Personal Net Income (Primary Investor)</t>
  </si>
  <si>
    <t>Personal Net Income (Secondary Investor)</t>
  </si>
  <si>
    <t>Only if non SPV salary in cell E9 &lt; NI threshhold of £8140</t>
  </si>
  <si>
    <t xml:space="preserve">NOTE - THIS MODEL HAS NOT BEEN SET UP TO CONSIDER THE IMPACT OF TRANSFERABLE PERSONAL </t>
  </si>
  <si>
    <t>ALLOWANCES - NOR CAN IT BE USED WHERE THE SPOUSE / PARTNER HAS THEIR OWN INCOME.</t>
  </si>
  <si>
    <t>Cells shown in this colour have been calculated to include the optimum level of salary.</t>
  </si>
  <si>
    <t xml:space="preserve">The user can examine the benefits of paying the primary investor a salary out of the SPV (if his </t>
  </si>
  <si>
    <t xml:space="preserve"> "main" salary is below the threshhold at which National Insurance is payable) as well as the benefit </t>
  </si>
  <si>
    <t>of paying a spouse/partner ("secondary" investor) a salary out of the SPV (assuming this person</t>
  </si>
  <si>
    <t xml:space="preserve"> has no other income).</t>
  </si>
  <si>
    <t>Only valid if secondary investor has no other taxable income</t>
  </si>
  <si>
    <t>This analysis shows the (all inclusive) finance cost needed to make it worthwile exiting an existing individual arrangement</t>
  </si>
  <si>
    <t>20%</t>
  </si>
  <si>
    <t>40%</t>
  </si>
  <si>
    <t>45%</t>
  </si>
  <si>
    <t>Current after tax cost</t>
  </si>
  <si>
    <t>Prospective after tax cost</t>
  </si>
  <si>
    <t>not make sense to give up this favourable arrangement until rates move up considerably from their</t>
  </si>
  <si>
    <t xml:space="preserve">current levels since the increase in interest costs will more than outweigh the tax saving from incorporation.  </t>
  </si>
  <si>
    <t>Break-even rate for limited company @ 18% tax rate</t>
  </si>
  <si>
    <t>If the user has some mortgages on long term trackers at very favourable rates (e.g. Bank Rate +2%) it may</t>
  </si>
  <si>
    <t xml:space="preserve">The following table shows the break-even point at which incorporation could be of benefit since the </t>
  </si>
  <si>
    <t>Tax Payer's Top Rate of Tax</t>
  </si>
  <si>
    <t xml:space="preserve">Tax Band               </t>
  </si>
  <si>
    <t>2017/18 analysis</t>
  </si>
  <si>
    <t>2018/19 analysis</t>
  </si>
  <si>
    <t>2019/20 analysis</t>
  </si>
  <si>
    <t>2020/21 analysis</t>
  </si>
  <si>
    <t>Break-even rate for limited company @ 19% tax rate</t>
  </si>
  <si>
    <t>Comparable pre tax cost with full tax deductibility</t>
  </si>
  <si>
    <t>Current interest rate paid</t>
  </si>
  <si>
    <t>after tax cost would be lower if the finance cost shown could be bettered.  This analyses below show the</t>
  </si>
  <si>
    <t>transitional years.</t>
  </si>
  <si>
    <t>break-even points once the new rules come into full effect in 2020/21 as well as in each of the preceding</t>
  </si>
  <si>
    <t>Break-even points</t>
  </si>
  <si>
    <t>BTL SDLT supplement</t>
  </si>
  <si>
    <t xml:space="preserve">from </t>
  </si>
  <si>
    <t>Proposed date of incorporation</t>
  </si>
  <si>
    <t xml:space="preserve">on purchases in excess of </t>
  </si>
  <si>
    <t>SDLT cost based on tax rates effective 30th November 2015.</t>
  </si>
  <si>
    <t>SDLT - non residential</t>
  </si>
  <si>
    <t>Above</t>
  </si>
  <si>
    <t>Applicable to portfolios of</t>
  </si>
  <si>
    <t xml:space="preserve">or more residential properties </t>
  </si>
  <si>
    <t>SDLT with MDR</t>
  </si>
  <si>
    <t>SDLT due on individual properties</t>
  </si>
  <si>
    <t>SDLT with Multiple Dwellings Relief</t>
  </si>
  <si>
    <t>Resi</t>
  </si>
  <si>
    <t>Comm SDLT</t>
  </si>
  <si>
    <t>Resi SDLT</t>
  </si>
  <si>
    <t>With MDR</t>
  </si>
  <si>
    <t>Without MDR</t>
  </si>
  <si>
    <t>Comm</t>
  </si>
  <si>
    <t>Lower of</t>
  </si>
  <si>
    <t>SDLT in the list below assumes that the sales would not be "linked transactions"</t>
  </si>
  <si>
    <t>for SDLT - tax advice should be obtained on "Multiple Dwellings Relief" and also</t>
  </si>
  <si>
    <t>on portfolio sales involving 6 or more residential properties.</t>
  </si>
  <si>
    <t xml:space="preserve">Commercial rate SDLT for portfolio of six or more properties </t>
  </si>
  <si>
    <t>N/A</t>
  </si>
  <si>
    <t>Paper published by HMRC on 28th December 2015.  The tax payer will have the</t>
  </si>
  <si>
    <t xml:space="preserve">option on which basis to apply, so the SDLT payable will be </t>
  </si>
  <si>
    <t>The above calculations have been based on the principles set out in the Discussion</t>
  </si>
  <si>
    <t>SDLT (individually)</t>
  </si>
  <si>
    <t>No allowance has been made for the "15 property" rule as HMRC is still</t>
  </si>
  <si>
    <t>consulting on the operation of this exemption from the 3% surcharge.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</si>
</sst>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64" formatCode="0.0%"/>
    <numFmt numFmtId="165" formatCode="&quot;£&quot;#,##0"/>
    <numFmt numFmtId="166" formatCode="#,##0_ ;[Red]\-#,##0\ "/>
  </numFmts>
  <fonts count="22" x14ac:knownFonts="1">
    <font>
      <sz val="10"/>
      <color theme="1"/>
      <name val="Lucida Sans"/>
      <family val="2"/>
    </font>
    <font>
      <sz val="10"/>
      <color rgb="FF006100"/>
      <name val="Lucida Sans"/>
      <family val="2"/>
    </font>
    <font>
      <sz val="10"/>
      <color rgb="FF3F3F76"/>
      <name val="Lucida Sans"/>
      <family val="2"/>
    </font>
    <font>
      <b/>
      <sz val="10"/>
      <color theme="1"/>
      <name val="Lucida Sans"/>
      <family val="2"/>
    </font>
    <font>
      <b/>
      <u/>
      <sz val="10"/>
      <color theme="1"/>
      <name val="Lucida Sans"/>
      <family val="2"/>
    </font>
    <font>
      <b/>
      <u/>
      <sz val="16"/>
      <color theme="1"/>
      <name val="Lucida Sans"/>
      <family val="2"/>
    </font>
    <font>
      <b/>
      <sz val="14"/>
      <color theme="1"/>
      <name val="Lucida Sans"/>
      <family val="2"/>
    </font>
    <font>
      <b/>
      <sz val="10"/>
      <color rgb="FF3F3F76"/>
      <name val="Lucida Sans"/>
      <family val="2"/>
    </font>
    <font>
      <b/>
      <sz val="12"/>
      <color theme="1"/>
      <name val="Lucida Sans"/>
      <family val="2"/>
    </font>
    <font>
      <b/>
      <sz val="10"/>
      <color theme="0"/>
      <name val="Lucida Sans"/>
      <family val="2"/>
    </font>
    <font>
      <sz val="10"/>
      <color rgb="FFFF0000"/>
      <name val="Lucida Sans"/>
      <family val="2"/>
    </font>
    <font>
      <sz val="8"/>
      <color theme="1"/>
      <name val="Lucida Sans"/>
      <family val="2"/>
    </font>
    <font>
      <u/>
      <sz val="10"/>
      <color theme="1"/>
      <name val="Lucida Sans"/>
      <family val="2"/>
    </font>
    <font>
      <u/>
      <sz val="10"/>
      <color theme="10"/>
      <name val="Lucida Sans"/>
      <family val="2"/>
    </font>
    <font>
      <b/>
      <u/>
      <sz val="12"/>
      <color theme="10"/>
      <name val="Lucida Sans"/>
      <family val="2"/>
    </font>
    <font>
      <b/>
      <sz val="12"/>
      <color rgb="FFFF0000"/>
      <name val="Lucida Sans"/>
      <family val="2"/>
    </font>
    <font>
      <b/>
      <sz val="10"/>
      <color rgb="FFFA7D00"/>
      <name val="Lucida Sans"/>
      <family val="2"/>
    </font>
    <font>
      <b/>
      <sz val="12"/>
      <color rgb="FFFA7D00"/>
      <name val="Lucida Sans"/>
      <family val="2"/>
    </font>
    <font>
      <b/>
      <sz val="12"/>
      <color rgb="FFC00000"/>
      <name val="Lucida Sans"/>
      <family val="2"/>
    </font>
    <font>
      <b/>
      <u/>
      <sz val="12"/>
      <color theme="1"/>
      <name val="Lucida Sans"/>
      <family val="2"/>
    </font>
    <font>
      <b/>
      <i/>
      <u/>
      <sz val="8"/>
      <color theme="1"/>
      <name val="Lucida Sans"/>
      <family val="2"/>
    </font>
    <font>
      <b/>
      <i/>
      <sz val="8"/>
      <color theme="1"/>
      <name val="Lucida Sans"/>
      <family val="2"/>
    </font>
  </fonts>
  <fills count="6">
    <fill>
      <patternFill patternType="none"/>
    </fill>
    <fill>
      <patternFill patternType="gray125"/>
    </fill>
    <fill>
      <patternFill patternType="solid">
        <fgColor rgb="FFC6EFCE"/>
      </patternFill>
    </fill>
    <fill>
      <patternFill patternType="solid">
        <fgColor rgb="FFFFCC99"/>
      </patternFill>
    </fill>
    <fill>
      <patternFill patternType="solid">
        <fgColor rgb="FFA5A5A5"/>
      </patternFill>
    </fill>
    <fill>
      <patternFill patternType="solid">
        <fgColor rgb="FFF2F2F2"/>
      </patternFill>
    </fill>
  </fills>
  <borders count="3">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s>
  <cellStyleXfs count="6">
    <xf numFmtId="0" fontId="0" fillId="0" borderId="0"/>
    <xf numFmtId="0" fontId="1" fillId="2" borderId="0" applyNumberFormat="0" applyBorder="0" applyAlignment="0" applyProtection="0"/>
    <xf numFmtId="0" fontId="2" fillId="3" borderId="1" applyNumberFormat="0" applyAlignment="0" applyProtection="0"/>
    <xf numFmtId="0" fontId="9" fillId="4" borderId="2" applyNumberFormat="0" applyAlignment="0" applyProtection="0"/>
    <xf numFmtId="0" fontId="13" fillId="0" borderId="0" applyNumberFormat="0" applyFill="0" applyBorder="0" applyAlignment="0" applyProtection="0"/>
    <xf numFmtId="0" fontId="16" fillId="5" borderId="1" applyNumberFormat="0" applyAlignment="0" applyProtection="0"/>
  </cellStyleXfs>
  <cellXfs count="129">
    <xf numFmtId="0" fontId="0" fillId="0" borderId="0" xfId="0"/>
    <xf numFmtId="10" fontId="0" fillId="0" borderId="0" xfId="0" applyNumberFormat="1"/>
    <xf numFmtId="9" fontId="0" fillId="0" borderId="0" xfId="0" applyNumberFormat="1"/>
    <xf numFmtId="0" fontId="0" fillId="0" borderId="0" xfId="0" applyAlignment="1">
      <alignment horizontal="right"/>
    </xf>
    <xf numFmtId="0" fontId="3" fillId="0" borderId="0" xfId="0" applyFont="1" applyAlignment="1">
      <alignment horizontal="right"/>
    </xf>
    <xf numFmtId="1" fontId="0" fillId="0" borderId="0" xfId="0" applyNumberFormat="1"/>
    <xf numFmtId="10" fontId="2" fillId="3" borderId="1" xfId="2" applyNumberFormat="1"/>
    <xf numFmtId="0" fontId="4" fillId="0" borderId="0" xfId="0" applyFont="1"/>
    <xf numFmtId="0" fontId="4" fillId="0" borderId="0" xfId="0" applyFont="1" applyAlignment="1">
      <alignment horizontal="right"/>
    </xf>
    <xf numFmtId="0" fontId="5" fillId="0" borderId="0" xfId="0" applyFont="1"/>
    <xf numFmtId="0" fontId="6" fillId="0" borderId="0" xfId="0" applyFont="1"/>
    <xf numFmtId="0" fontId="0" fillId="0" borderId="0" xfId="0" applyFont="1" applyAlignment="1">
      <alignment horizontal="right"/>
    </xf>
    <xf numFmtId="0" fontId="3" fillId="0" borderId="0" xfId="0" applyFont="1"/>
    <xf numFmtId="1" fontId="3" fillId="0" borderId="0" xfId="0" applyNumberFormat="1" applyFont="1"/>
    <xf numFmtId="0" fontId="8" fillId="0" borderId="0" xfId="0" applyFont="1"/>
    <xf numFmtId="1" fontId="8" fillId="0" borderId="0" xfId="0" applyNumberFormat="1" applyFont="1"/>
    <xf numFmtId="3" fontId="0" fillId="0" borderId="0" xfId="0" applyNumberFormat="1"/>
    <xf numFmtId="3" fontId="3" fillId="0" borderId="0" xfId="0" applyNumberFormat="1" applyFont="1"/>
    <xf numFmtId="3" fontId="8" fillId="0" borderId="0" xfId="0" applyNumberFormat="1" applyFont="1"/>
    <xf numFmtId="3" fontId="8" fillId="0" borderId="0" xfId="0" applyNumberFormat="1" applyFont="1" applyAlignment="1">
      <alignment horizontal="right"/>
    </xf>
    <xf numFmtId="0" fontId="1" fillId="2" borderId="0" xfId="1"/>
    <xf numFmtId="0" fontId="2" fillId="3" borderId="1" xfId="2"/>
    <xf numFmtId="6" fontId="0" fillId="0" borderId="0" xfId="0" applyNumberFormat="1"/>
    <xf numFmtId="6" fontId="4" fillId="0" borderId="0" xfId="0" applyNumberFormat="1" applyFont="1"/>
    <xf numFmtId="0" fontId="0" fillId="0" borderId="0" xfId="0" applyAlignment="1">
      <alignment horizontal="left"/>
    </xf>
    <xf numFmtId="3" fontId="8" fillId="0" borderId="0" xfId="0" quotePrefix="1" applyNumberFormat="1" applyFont="1" applyAlignment="1">
      <alignment horizontal="right"/>
    </xf>
    <xf numFmtId="0" fontId="0" fillId="0" borderId="0" xfId="0" applyFont="1"/>
    <xf numFmtId="3" fontId="0" fillId="0" borderId="0" xfId="0" applyNumberFormat="1" applyFont="1"/>
    <xf numFmtId="9" fontId="3" fillId="0" borderId="0" xfId="0" applyNumberFormat="1" applyFont="1"/>
    <xf numFmtId="3" fontId="3" fillId="0" borderId="0" xfId="0" applyNumberFormat="1" applyFont="1" applyAlignment="1">
      <alignment horizontal="right"/>
    </xf>
    <xf numFmtId="1" fontId="0" fillId="0" borderId="0" xfId="0" applyNumberFormat="1" applyFont="1"/>
    <xf numFmtId="0" fontId="12" fillId="0" borderId="0" xfId="0" applyFont="1"/>
    <xf numFmtId="0" fontId="13" fillId="0" borderId="0" xfId="4"/>
    <xf numFmtId="0" fontId="0" fillId="0" borderId="0" xfId="0" quotePrefix="1" applyAlignment="1">
      <alignment horizontal="right"/>
    </xf>
    <xf numFmtId="0" fontId="6" fillId="0" borderId="0" xfId="0" applyFont="1" applyAlignment="1">
      <alignment horizontal="right"/>
    </xf>
    <xf numFmtId="1" fontId="10" fillId="0" borderId="0" xfId="0" applyNumberFormat="1" applyFont="1"/>
    <xf numFmtId="1" fontId="15" fillId="0" borderId="0" xfId="0" applyNumberFormat="1" applyFont="1"/>
    <xf numFmtId="0" fontId="9" fillId="4" borderId="2" xfId="3"/>
    <xf numFmtId="0" fontId="17" fillId="5" borderId="1" xfId="5" applyFont="1"/>
    <xf numFmtId="3" fontId="17" fillId="5" borderId="1" xfId="5" applyNumberFormat="1" applyFont="1"/>
    <xf numFmtId="0" fontId="4" fillId="0" borderId="0" xfId="0" applyFont="1" applyProtection="1">
      <protection hidden="1"/>
    </xf>
    <xf numFmtId="1" fontId="0" fillId="0" borderId="0" xfId="0" applyNumberFormat="1" applyProtection="1">
      <protection hidden="1"/>
    </xf>
    <xf numFmtId="1" fontId="0" fillId="0" borderId="0" xfId="0" applyNumberFormat="1" applyFont="1" applyProtection="1">
      <protection hidden="1"/>
    </xf>
    <xf numFmtId="0" fontId="0" fillId="0" borderId="0" xfId="0" applyProtection="1">
      <protection hidden="1"/>
    </xf>
    <xf numFmtId="9" fontId="0" fillId="0" borderId="0" xfId="0" applyNumberFormat="1" applyProtection="1">
      <protection hidden="1"/>
    </xf>
    <xf numFmtId="0" fontId="0" fillId="0" borderId="0" xfId="0" applyFont="1" applyProtection="1">
      <protection hidden="1"/>
    </xf>
    <xf numFmtId="0" fontId="0" fillId="0" borderId="0" xfId="0" applyAlignment="1" applyProtection="1">
      <alignment horizontal="right"/>
      <protection hidden="1"/>
    </xf>
    <xf numFmtId="0" fontId="0" fillId="0" borderId="0" xfId="0" applyFont="1" applyAlignment="1" applyProtection="1">
      <alignment horizontal="right"/>
      <protection hidden="1"/>
    </xf>
    <xf numFmtId="1" fontId="0" fillId="0" borderId="0" xfId="0" applyNumberFormat="1" applyAlignment="1" applyProtection="1">
      <alignment horizontal="right"/>
      <protection hidden="1"/>
    </xf>
    <xf numFmtId="164" fontId="0" fillId="0" borderId="0" xfId="0" applyNumberFormat="1" applyProtection="1">
      <protection hidden="1"/>
    </xf>
    <xf numFmtId="3" fontId="2" fillId="3" borderId="1" xfId="2" applyNumberFormat="1" applyProtection="1">
      <protection locked="0"/>
    </xf>
    <xf numFmtId="3" fontId="9" fillId="4" borderId="2" xfId="3" applyNumberFormat="1" applyProtection="1">
      <protection locked="0"/>
    </xf>
    <xf numFmtId="3" fontId="0" fillId="0" borderId="0" xfId="0" applyNumberFormat="1" applyFont="1" applyProtection="1">
      <protection locked="0"/>
    </xf>
    <xf numFmtId="3" fontId="0" fillId="0" borderId="0" xfId="0" applyNumberFormat="1" applyProtection="1">
      <protection hidden="1"/>
    </xf>
    <xf numFmtId="0" fontId="0" fillId="0" borderId="0" xfId="0" applyProtection="1">
      <protection locked="0"/>
    </xf>
    <xf numFmtId="17" fontId="0" fillId="0" borderId="0" xfId="0" applyNumberFormat="1"/>
    <xf numFmtId="0" fontId="5" fillId="0" borderId="0" xfId="0" applyFont="1" applyProtection="1"/>
    <xf numFmtId="0" fontId="4" fillId="0" borderId="0" xfId="0" applyFont="1" applyAlignment="1" applyProtection="1">
      <alignment horizontal="right"/>
    </xf>
    <xf numFmtId="3" fontId="16" fillId="5" borderId="1" xfId="5" applyNumberFormat="1" applyProtection="1"/>
    <xf numFmtId="3" fontId="0" fillId="0" borderId="0" xfId="0" applyNumberFormat="1" applyProtection="1"/>
    <xf numFmtId="3" fontId="3" fillId="0" borderId="0" xfId="0" applyNumberFormat="1" applyFont="1" applyProtection="1"/>
    <xf numFmtId="3" fontId="17" fillId="5" borderId="1" xfId="5" applyNumberFormat="1" applyFont="1" applyProtection="1"/>
    <xf numFmtId="3" fontId="8" fillId="0" borderId="0" xfId="0" applyNumberFormat="1" applyFont="1" applyProtection="1"/>
    <xf numFmtId="1" fontId="0" fillId="0" borderId="0" xfId="0" applyNumberFormat="1" applyProtection="1"/>
    <xf numFmtId="0" fontId="0" fillId="0" borderId="0" xfId="0" applyProtection="1"/>
    <xf numFmtId="165" fontId="2" fillId="3" borderId="1" xfId="2" applyNumberFormat="1" applyProtection="1">
      <protection locked="0"/>
    </xf>
    <xf numFmtId="0" fontId="4" fillId="0" borderId="0" xfId="0" applyFont="1" applyAlignment="1" applyProtection="1">
      <alignment horizontal="center"/>
      <protection locked="0"/>
    </xf>
    <xf numFmtId="0" fontId="0" fillId="0" borderId="0" xfId="0" applyAlignment="1" applyProtection="1">
      <alignment horizontal="right"/>
      <protection locked="0"/>
    </xf>
    <xf numFmtId="0" fontId="0" fillId="0" borderId="0" xfId="0" quotePrefix="1" applyAlignment="1" applyProtection="1">
      <alignment horizontal="right"/>
      <protection locked="0"/>
    </xf>
    <xf numFmtId="3" fontId="0" fillId="0" borderId="0" xfId="0" applyNumberFormat="1" applyProtection="1">
      <protection locked="0"/>
    </xf>
    <xf numFmtId="0" fontId="18" fillId="0" borderId="0" xfId="0" applyFont="1"/>
    <xf numFmtId="0" fontId="3" fillId="0" borderId="0" xfId="0" applyFont="1" applyProtection="1">
      <protection locked="0"/>
    </xf>
    <xf numFmtId="165" fontId="3" fillId="0" borderId="0" xfId="0" applyNumberFormat="1" applyFont="1" applyProtection="1"/>
    <xf numFmtId="0" fontId="6" fillId="0" borderId="0" xfId="0" applyFont="1" applyAlignment="1" applyProtection="1">
      <alignment horizontal="right"/>
    </xf>
    <xf numFmtId="0" fontId="6" fillId="0" borderId="0" xfId="0" applyFont="1" applyProtection="1"/>
    <xf numFmtId="0" fontId="3" fillId="0" borderId="0" xfId="0" applyFont="1" applyProtection="1"/>
    <xf numFmtId="0" fontId="4" fillId="0" borderId="0" xfId="0" applyFont="1" applyAlignment="1" applyProtection="1">
      <alignment horizontal="center" vertical="center" wrapText="1"/>
    </xf>
    <xf numFmtId="0" fontId="20" fillId="0" borderId="0" xfId="0" applyFont="1" applyAlignment="1" applyProtection="1">
      <alignment horizontal="center" vertical="center" wrapText="1"/>
    </xf>
    <xf numFmtId="0" fontId="0" fillId="0" borderId="0" xfId="0" applyFont="1" applyProtection="1"/>
    <xf numFmtId="0" fontId="0" fillId="0" borderId="0" xfId="0" applyAlignment="1" applyProtection="1">
      <alignment horizontal="right"/>
    </xf>
    <xf numFmtId="165" fontId="3" fillId="0" borderId="0" xfId="0" applyNumberFormat="1" applyFont="1" applyAlignment="1" applyProtection="1">
      <alignment horizontal="center"/>
    </xf>
    <xf numFmtId="165" fontId="21" fillId="0" borderId="0" xfId="0" applyNumberFormat="1" applyFont="1" applyAlignment="1" applyProtection="1">
      <alignment horizontal="center"/>
    </xf>
    <xf numFmtId="0" fontId="0" fillId="0" borderId="0" xfId="0" applyAlignment="1" applyProtection="1">
      <alignment horizontal="center"/>
    </xf>
    <xf numFmtId="0" fontId="11" fillId="0" borderId="0" xfId="0" applyFont="1"/>
    <xf numFmtId="0" fontId="11" fillId="0" borderId="0" xfId="0" applyFont="1" applyAlignment="1">
      <alignment horizontal="right"/>
    </xf>
    <xf numFmtId="14" fontId="11" fillId="0" borderId="0" xfId="0" applyNumberFormat="1" applyFont="1" applyProtection="1"/>
    <xf numFmtId="0" fontId="16" fillId="5" borderId="1" xfId="5"/>
    <xf numFmtId="0" fontId="7" fillId="3" borderId="1" xfId="2" applyFont="1" applyAlignment="1" applyProtection="1">
      <alignment horizontal="center"/>
      <protection locked="0"/>
    </xf>
    <xf numFmtId="10" fontId="2" fillId="3" borderId="1" xfId="2" applyNumberFormat="1" applyProtection="1">
      <protection locked="0"/>
    </xf>
    <xf numFmtId="6" fontId="2" fillId="3" borderId="1" xfId="2" applyNumberFormat="1" applyProtection="1">
      <protection locked="0"/>
    </xf>
    <xf numFmtId="0" fontId="2" fillId="3" borderId="1" xfId="2" applyProtection="1">
      <protection locked="0"/>
    </xf>
    <xf numFmtId="2" fontId="2" fillId="3" borderId="1" xfId="2" applyNumberFormat="1" applyProtection="1">
      <protection locked="0"/>
    </xf>
    <xf numFmtId="9" fontId="16" fillId="5" borderId="1" xfId="5" applyNumberFormat="1" applyProtection="1"/>
    <xf numFmtId="0" fontId="12" fillId="0" borderId="0" xfId="0" applyFont="1" applyProtection="1">
      <protection hidden="1"/>
    </xf>
    <xf numFmtId="9" fontId="12" fillId="0" borderId="0" xfId="0" applyNumberFormat="1" applyFont="1"/>
    <xf numFmtId="9" fontId="2" fillId="3" borderId="1" xfId="2" applyNumberFormat="1" applyAlignment="1" applyProtection="1">
      <alignment horizontal="center"/>
      <protection locked="0"/>
    </xf>
    <xf numFmtId="165" fontId="16" fillId="5" borderId="1" xfId="5" applyNumberFormat="1"/>
    <xf numFmtId="3" fontId="2" fillId="3" borderId="1" xfId="2" applyNumberFormat="1" applyAlignment="1" applyProtection="1">
      <alignment horizontal="center"/>
      <protection locked="0"/>
    </xf>
    <xf numFmtId="9" fontId="0" fillId="0" borderId="0" xfId="0" applyNumberFormat="1" applyProtection="1">
      <protection locked="0"/>
    </xf>
    <xf numFmtId="3" fontId="1" fillId="2" borderId="0" xfId="1" applyNumberFormat="1" applyProtection="1">
      <protection locked="0"/>
    </xf>
    <xf numFmtId="9" fontId="1" fillId="2" borderId="0" xfId="1" applyNumberFormat="1" applyProtection="1">
      <protection locked="0"/>
    </xf>
    <xf numFmtId="10" fontId="0" fillId="0" borderId="0" xfId="0" applyNumberFormat="1" applyProtection="1">
      <protection locked="0"/>
    </xf>
    <xf numFmtId="0" fontId="3" fillId="0" borderId="0" xfId="0" applyFont="1" applyAlignment="1" applyProtection="1">
      <alignment horizontal="right"/>
      <protection locked="0"/>
    </xf>
    <xf numFmtId="10" fontId="1" fillId="2" borderId="0" xfId="1" applyNumberFormat="1" applyProtection="1">
      <protection locked="0"/>
    </xf>
    <xf numFmtId="1" fontId="1" fillId="2" borderId="0" xfId="1" applyNumberFormat="1" applyProtection="1">
      <protection locked="0"/>
    </xf>
    <xf numFmtId="1" fontId="0" fillId="0" borderId="0" xfId="0" applyNumberFormat="1" applyProtection="1">
      <protection locked="0"/>
    </xf>
    <xf numFmtId="9" fontId="0" fillId="0" borderId="0" xfId="0" applyNumberFormat="1" applyAlignment="1">
      <alignment horizontal="center"/>
    </xf>
    <xf numFmtId="164" fontId="2" fillId="3" borderId="1" xfId="2" applyNumberFormat="1" applyAlignment="1">
      <alignment horizontal="center"/>
    </xf>
    <xf numFmtId="10" fontId="0" fillId="0" borderId="0" xfId="0" applyNumberFormat="1" applyAlignment="1">
      <alignment horizontal="center"/>
    </xf>
    <xf numFmtId="9" fontId="1" fillId="2" borderId="0" xfId="1" applyNumberFormat="1" applyProtection="1"/>
    <xf numFmtId="15" fontId="1" fillId="2" borderId="0" xfId="1" applyNumberFormat="1" applyProtection="1"/>
    <xf numFmtId="6" fontId="1" fillId="2" borderId="0" xfId="1" applyNumberFormat="1" applyProtection="1"/>
    <xf numFmtId="15" fontId="2" fillId="3" borderId="1" xfId="2" applyNumberFormat="1" applyProtection="1">
      <protection locked="0"/>
    </xf>
    <xf numFmtId="6" fontId="0" fillId="0" borderId="0" xfId="0" applyNumberFormat="1" applyFont="1"/>
    <xf numFmtId="166" fontId="1" fillId="2" borderId="0" xfId="1" applyNumberFormat="1" applyProtection="1"/>
    <xf numFmtId="165" fontId="3" fillId="0" borderId="0" xfId="0" applyNumberFormat="1" applyFont="1"/>
    <xf numFmtId="6" fontId="3" fillId="0" borderId="0" xfId="0" applyNumberFormat="1" applyFont="1"/>
    <xf numFmtId="3" fontId="0" fillId="0" borderId="0" xfId="0" applyNumberFormat="1" applyAlignment="1">
      <alignment horizontal="center"/>
    </xf>
    <xf numFmtId="0" fontId="0" fillId="0" borderId="0" xfId="0" applyAlignment="1">
      <alignment horizontal="center"/>
    </xf>
    <xf numFmtId="0" fontId="4" fillId="0" borderId="0" xfId="0" applyFont="1" applyAlignment="1">
      <alignment horizontal="center"/>
    </xf>
    <xf numFmtId="6" fontId="3" fillId="0" borderId="0" xfId="0" applyNumberFormat="1" applyFont="1" applyAlignment="1">
      <alignment horizontal="center"/>
    </xf>
    <xf numFmtId="0" fontId="19" fillId="0" borderId="0" xfId="0" applyFont="1" applyAlignment="1" applyProtection="1">
      <alignment horizontal="center" vertical="center" wrapText="1"/>
    </xf>
    <xf numFmtId="0" fontId="0" fillId="0" borderId="0" xfId="0" applyAlignment="1" applyProtection="1">
      <alignment vertical="center"/>
    </xf>
    <xf numFmtId="0" fontId="19" fillId="0" borderId="0" xfId="0" applyFont="1" applyAlignment="1" applyProtection="1">
      <alignment horizontal="center" wrapText="1"/>
    </xf>
    <xf numFmtId="0" fontId="0" fillId="0" borderId="0" xfId="0" applyAlignment="1" applyProtection="1">
      <alignment horizontal="center" wrapText="1"/>
    </xf>
    <xf numFmtId="0" fontId="11" fillId="0" borderId="0" xfId="0" applyFont="1" applyAlignment="1" applyProtection="1">
      <alignment wrapText="1"/>
    </xf>
    <xf numFmtId="0" fontId="11" fillId="0" borderId="0" xfId="0" applyFont="1" applyAlignment="1">
      <alignment wrapText="1"/>
    </xf>
    <xf numFmtId="0" fontId="12" fillId="0" borderId="0" xfId="0" applyFont="1" applyAlignment="1">
      <alignment horizontal="center"/>
    </xf>
    <xf numFmtId="6" fontId="4" fillId="0" borderId="0" xfId="0" applyNumberFormat="1" applyFont="1" applyAlignment="1">
      <alignment horizontal="center"/>
    </xf>
  </cellXfs>
  <cellStyles count="6">
    <cellStyle name="Calculation" xfId="5" builtinId="22"/>
    <cellStyle name="Check Cell" xfId="3" builtinId="23"/>
    <cellStyle name="Good" xfId="1" builtinId="26"/>
    <cellStyle name="Hyperlink" xfId="4" builtinId="8"/>
    <cellStyle name="Input" xfId="2" builtinId="20"/>
    <cellStyle name="Normal" xfId="0" builtinId="0"/>
  </cellStyles>
  <dxfs count="25">
    <dxf>
      <numFmt numFmtId="14" formatCode="0.00%"/>
      <alignment horizontal="center" vertical="bottom" textRotation="0" wrapText="0" indent="0" justifyLastLine="0" shrinkToFit="0" readingOrder="0"/>
    </dxf>
    <dxf>
      <numFmt numFmtId="14" formatCode="0.00%"/>
      <alignment horizontal="center" vertical="bottom" textRotation="0" wrapText="0" indent="0" justifyLastLine="0" shrinkToFit="0" readingOrder="0"/>
    </dxf>
    <dxf>
      <numFmt numFmtId="14" formatCode="0.00%"/>
      <alignment horizontal="center" vertical="bottom" textRotation="0" wrapText="0" indent="0" justifyLastLine="0" shrinkToFit="0" readingOrder="0"/>
    </dxf>
    <dxf>
      <alignment horizontal="right" vertical="bottom" textRotation="0" wrapText="0" indent="0" justifyLastLine="0" shrinkToFit="0" readingOrder="0"/>
    </dxf>
    <dxf>
      <numFmt numFmtId="14" formatCode="0.00%"/>
      <alignment horizontal="center" vertical="bottom" textRotation="0" wrapText="0" indent="0" justifyLastLine="0" shrinkToFit="0" readingOrder="0"/>
    </dxf>
    <dxf>
      <numFmt numFmtId="14" formatCode="0.00%"/>
      <alignment horizontal="center" vertical="bottom" textRotation="0" wrapText="0" indent="0" justifyLastLine="0" shrinkToFit="0" readingOrder="0"/>
    </dxf>
    <dxf>
      <numFmt numFmtId="14" formatCode="0.00%"/>
      <alignment horizontal="center" vertical="bottom" textRotation="0" wrapText="0" indent="0" justifyLastLine="0" shrinkToFit="0" readingOrder="0"/>
    </dxf>
    <dxf>
      <alignment horizontal="right" vertical="bottom" textRotation="0" wrapText="0" indent="0" justifyLastLine="0" shrinkToFit="0" readingOrder="0"/>
    </dxf>
    <dxf>
      <numFmt numFmtId="14" formatCode="0.00%"/>
      <alignment horizontal="center" vertical="bottom" textRotation="0" wrapText="0" indent="0" justifyLastLine="0" shrinkToFit="0" readingOrder="0"/>
    </dxf>
    <dxf>
      <numFmt numFmtId="14" formatCode="0.00%"/>
      <alignment horizontal="center" vertical="bottom" textRotation="0" wrapText="0" indent="0" justifyLastLine="0" shrinkToFit="0" readingOrder="0"/>
    </dxf>
    <dxf>
      <numFmt numFmtId="14" formatCode="0.00%"/>
      <alignment horizontal="center" vertical="bottom" textRotation="0" wrapText="0" indent="0" justifyLastLine="0" shrinkToFit="0" readingOrder="0"/>
    </dxf>
    <dxf>
      <alignment horizontal="right" vertical="bottom" textRotation="0" wrapText="0" indent="0" justifyLastLine="0" shrinkToFit="0" readingOrder="0"/>
    </dxf>
    <dxf>
      <numFmt numFmtId="14" formatCode="0.00%"/>
      <alignment horizontal="center" vertical="bottom" textRotation="0" wrapText="0" indent="0" justifyLastLine="0" shrinkToFit="0" readingOrder="0"/>
    </dxf>
    <dxf>
      <numFmt numFmtId="14" formatCode="0.00%"/>
      <alignment horizontal="center" vertical="bottom" textRotation="0" wrapText="0" indent="0" justifyLastLine="0" shrinkToFit="0" readingOrder="0"/>
    </dxf>
    <dxf>
      <numFmt numFmtId="14" formatCode="0.00%"/>
      <alignment horizontal="center" vertical="bottom" textRotation="0" wrapText="0" indent="0" justifyLastLine="0" shrinkToFit="0" readingOrder="0"/>
    </dxf>
    <dxf>
      <alignment horizontal="right" vertical="bottom" textRotation="0" wrapText="0" indent="0" justifyLastLine="0" shrinkToFit="0" readingOrder="0"/>
    </dxf>
    <dxf>
      <numFmt numFmtId="14" formatCode="0.00%"/>
      <alignment horizontal="center" vertical="bottom" textRotation="0" wrapText="0" indent="0" justifyLastLine="0" shrinkToFit="0" readingOrder="0"/>
    </dxf>
    <dxf>
      <numFmt numFmtId="14" formatCode="0.00%"/>
      <alignment horizontal="center" vertical="bottom" textRotation="0" wrapText="0" indent="0" justifyLastLine="0" shrinkToFit="0" readingOrder="0"/>
    </dxf>
    <dxf>
      <numFmt numFmtId="14" formatCode="0.00%"/>
      <alignment horizontal="center" vertical="bottom" textRotation="0" wrapText="0" indent="0" justifyLastLine="0" shrinkToFit="0" readingOrder="0"/>
    </dxf>
    <dxf>
      <alignment horizontal="right" vertical="bottom" textRotation="0" wrapText="0" indent="0" justifyLastLine="0" shrinkToFit="0" readingOrder="0"/>
    </dxf>
    <dxf>
      <numFmt numFmtId="3" formatCode="#,##0"/>
    </dxf>
    <dxf>
      <numFmt numFmtId="3" formatCode="#,##0"/>
    </dxf>
    <dxf>
      <numFmt numFmtId="3" formatCode="#,##0"/>
      <protection locked="0" hidden="0"/>
    </dxf>
    <dxf>
      <protection locked="0" hidden="0"/>
    </dxf>
    <dxf>
      <alignment horizontal="righ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1" name="Table1" displayName="Table1" ref="A28:D67" totalsRowShown="0" headerRowDxfId="24">
  <autoFilter ref="A28:D67"/>
  <tableColumns count="4">
    <tableColumn id="1" name="Property reference" dataDxfId="23"/>
    <tableColumn id="2" name="Property Value" dataDxfId="22" dataCellStyle="Input"/>
    <tableColumn id="3" name="SDLT (individually)" dataDxfId="21"/>
    <tableColumn id="4" name="Legal" dataDxfId="20"/>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A51:D55" totalsRowShown="0" headerRowDxfId="19">
  <autoFilter ref="A51:D55"/>
  <tableColumns count="4">
    <tableColumn id="1" name="Tax Band               "/>
    <tableColumn id="2" name="20%" dataDxfId="18">
      <calculatedColumnFormula>$B12*(1-Table2[[#Headers],[20%]])</calculatedColumnFormula>
    </tableColumn>
    <tableColumn id="3" name="40%" dataDxfId="17">
      <calculatedColumnFormula>Table2[[#This Row],[20%]]</calculatedColumnFormula>
    </tableColumn>
    <tableColumn id="4" name="45%" dataDxfId="16"/>
  </tableColumns>
  <tableStyleInfo name="TableStyleLight9" showFirstColumn="0" showLastColumn="0" showRowStripes="1" showColumnStripes="0"/>
</table>
</file>

<file path=xl/tables/table3.xml><?xml version="1.0" encoding="utf-8"?>
<table xmlns="http://schemas.openxmlformats.org/spreadsheetml/2006/main" id="4" name="Table25" displayName="Table25" ref="A24:D28" totalsRowShown="0" headerRowDxfId="15">
  <autoFilter ref="A24:D28"/>
  <tableColumns count="4">
    <tableColumn id="1" name="Tax Band               "/>
    <tableColumn id="2" name="20%" dataDxfId="14">
      <calculatedColumnFormula>#REF!*(1-Table25[[#Headers],[20%]])</calculatedColumnFormula>
    </tableColumn>
    <tableColumn id="3" name="40%" dataDxfId="13">
      <calculatedColumnFormula>Table25[[#This Row],[20%]]</calculatedColumnFormula>
    </tableColumn>
    <tableColumn id="4" name="45%" dataDxfId="12"/>
  </tableColumns>
  <tableStyleInfo name="TableStyleLight9" showFirstColumn="0" showLastColumn="0" showRowStripes="1" showColumnStripes="0"/>
</table>
</file>

<file path=xl/tables/table4.xml><?xml version="1.0" encoding="utf-8"?>
<table xmlns="http://schemas.openxmlformats.org/spreadsheetml/2006/main" id="5" name="Table256" displayName="Table256" ref="A33:D37" totalsRowShown="0" headerRowDxfId="11">
  <autoFilter ref="A33:D37"/>
  <tableColumns count="4">
    <tableColumn id="1" name="Tax Band               "/>
    <tableColumn id="2" name="20%" dataDxfId="10">
      <calculatedColumnFormula>$B29*(1-Table256[[#Headers],[20%]])</calculatedColumnFormula>
    </tableColumn>
    <tableColumn id="3" name="40%" dataDxfId="9">
      <calculatedColumnFormula>Table256[[#This Row],[20%]]</calculatedColumnFormula>
    </tableColumn>
    <tableColumn id="4" name="45%" dataDxfId="8"/>
  </tableColumns>
  <tableStyleInfo name="TableStyleLight9" showFirstColumn="0" showLastColumn="0" showRowStripes="1" showColumnStripes="0"/>
</table>
</file>

<file path=xl/tables/table5.xml><?xml version="1.0" encoding="utf-8"?>
<table xmlns="http://schemas.openxmlformats.org/spreadsheetml/2006/main" id="6" name="Table2567" displayName="Table2567" ref="A42:D46" totalsRowShown="0" headerRowDxfId="7">
  <autoFilter ref="A42:D46"/>
  <tableColumns count="4">
    <tableColumn id="1" name="Tax Band               "/>
    <tableColumn id="2" name="20%" dataDxfId="6">
      <calculatedColumnFormula>$B38*(1-Table2567[[#Headers],[20%]])</calculatedColumnFormula>
    </tableColumn>
    <tableColumn id="3" name="40%" dataDxfId="5">
      <calculatedColumnFormula>Table2567[[#This Row],[20%]]</calculatedColumnFormula>
    </tableColumn>
    <tableColumn id="4" name="45%" dataDxfId="4"/>
  </tableColumns>
  <tableStyleInfo name="TableStyleLight9" showFirstColumn="0" showLastColumn="0" showRowStripes="1" showColumnStripes="0"/>
</table>
</file>

<file path=xl/tables/table6.xml><?xml version="1.0" encoding="utf-8"?>
<table xmlns="http://schemas.openxmlformats.org/spreadsheetml/2006/main" id="8" name="Table29" displayName="Table29" ref="A15:D19" totalsRowShown="0" headerRowDxfId="3">
  <autoFilter ref="A15:D19"/>
  <tableColumns count="4">
    <tableColumn id="1" name="Tax Band               "/>
    <tableColumn id="2" name="20%" dataDxfId="2">
      <calculatedColumnFormula>$B3*(1-Table29[[#Headers],[20%]])</calculatedColumnFormula>
    </tableColumn>
    <tableColumn id="3" name="40%" dataDxfId="1"/>
    <tableColumn id="4" name="45%"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6.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69"/>
  <sheetViews>
    <sheetView topLeftCell="A28" workbookViewId="0">
      <selection activeCell="A69" sqref="A69"/>
    </sheetView>
  </sheetViews>
  <sheetFormatPr defaultRowHeight="12.75" x14ac:dyDescent="0.2"/>
  <cols>
    <col min="1" max="1" width="78.125" customWidth="1"/>
  </cols>
  <sheetData>
    <row r="1" spans="1:1" ht="19.5" x14ac:dyDescent="0.25">
      <c r="A1" s="9" t="s">
        <v>68</v>
      </c>
    </row>
    <row r="3" spans="1:1" ht="15" x14ac:dyDescent="0.2">
      <c r="A3" s="32" t="s">
        <v>94</v>
      </c>
    </row>
    <row r="5" spans="1:1" x14ac:dyDescent="0.2">
      <c r="A5" t="s">
        <v>95</v>
      </c>
    </row>
    <row r="6" spans="1:1" x14ac:dyDescent="0.2">
      <c r="A6" t="s">
        <v>97</v>
      </c>
    </row>
    <row r="7" spans="1:1" x14ac:dyDescent="0.2">
      <c r="A7" t="s">
        <v>96</v>
      </c>
    </row>
    <row r="9" spans="1:1" x14ac:dyDescent="0.2">
      <c r="A9" t="s">
        <v>98</v>
      </c>
    </row>
    <row r="11" spans="1:1" x14ac:dyDescent="0.2">
      <c r="A11" t="s">
        <v>150</v>
      </c>
    </row>
    <row r="12" spans="1:1" x14ac:dyDescent="0.2">
      <c r="A12" t="s">
        <v>151</v>
      </c>
    </row>
    <row r="13" spans="1:1" x14ac:dyDescent="0.2">
      <c r="A13" t="s">
        <v>152</v>
      </c>
    </row>
    <row r="14" spans="1:1" x14ac:dyDescent="0.2">
      <c r="A14" t="s">
        <v>153</v>
      </c>
    </row>
    <row r="16" spans="1:1" x14ac:dyDescent="0.2">
      <c r="A16" s="21" t="str">
        <f>A44</f>
        <v>Cells shown in orange should be adjusted by the user based on their own circumstances.</v>
      </c>
    </row>
    <row r="18" spans="1:1" x14ac:dyDescent="0.2">
      <c r="A18" s="86" t="s">
        <v>149</v>
      </c>
    </row>
    <row r="20" spans="1:1" x14ac:dyDescent="0.2">
      <c r="A20" t="s">
        <v>99</v>
      </c>
    </row>
    <row r="21" spans="1:1" x14ac:dyDescent="0.2">
      <c r="A21" t="s">
        <v>100</v>
      </c>
    </row>
    <row r="23" spans="1:1" x14ac:dyDescent="0.2">
      <c r="A23" t="s">
        <v>147</v>
      </c>
    </row>
    <row r="24" spans="1:1" x14ac:dyDescent="0.2">
      <c r="A24" t="s">
        <v>148</v>
      </c>
    </row>
    <row r="27" spans="1:1" ht="15" x14ac:dyDescent="0.2">
      <c r="A27" s="32" t="s">
        <v>78</v>
      </c>
    </row>
    <row r="28" spans="1:1" x14ac:dyDescent="0.2">
      <c r="A28" s="31"/>
    </row>
    <row r="29" spans="1:1" x14ac:dyDescent="0.2">
      <c r="A29" t="s">
        <v>69</v>
      </c>
    </row>
    <row r="31" spans="1:1" x14ac:dyDescent="0.2">
      <c r="A31" s="20" t="s">
        <v>91</v>
      </c>
    </row>
    <row r="32" spans="1:1" x14ac:dyDescent="0.2">
      <c r="A32" t="s">
        <v>70</v>
      </c>
    </row>
    <row r="34" spans="1:1" x14ac:dyDescent="0.2">
      <c r="A34" s="21" t="s">
        <v>71</v>
      </c>
    </row>
    <row r="36" spans="1:1" x14ac:dyDescent="0.2">
      <c r="A36" t="s">
        <v>72</v>
      </c>
    </row>
    <row r="39" spans="1:1" ht="15" x14ac:dyDescent="0.2">
      <c r="A39" s="32" t="s">
        <v>79</v>
      </c>
    </row>
    <row r="40" spans="1:1" x14ac:dyDescent="0.2">
      <c r="A40" s="31"/>
    </row>
    <row r="41" spans="1:1" x14ac:dyDescent="0.2">
      <c r="A41" t="s">
        <v>82</v>
      </c>
    </row>
    <row r="42" spans="1:1" x14ac:dyDescent="0.2">
      <c r="A42" t="s">
        <v>73</v>
      </c>
    </row>
    <row r="44" spans="1:1" x14ac:dyDescent="0.2">
      <c r="A44" s="21" t="s">
        <v>87</v>
      </c>
    </row>
    <row r="46" spans="1:1" x14ac:dyDescent="0.2">
      <c r="A46" t="s">
        <v>77</v>
      </c>
    </row>
    <row r="48" spans="1:1" x14ac:dyDescent="0.2">
      <c r="A48" t="s">
        <v>75</v>
      </c>
    </row>
    <row r="49" spans="1:1" x14ac:dyDescent="0.2">
      <c r="A49" t="s">
        <v>76</v>
      </c>
    </row>
    <row r="51" spans="1:1" x14ac:dyDescent="0.2">
      <c r="A51" s="7" t="s">
        <v>74</v>
      </c>
    </row>
    <row r="54" spans="1:1" ht="15" x14ac:dyDescent="0.2">
      <c r="A54" s="32" t="s">
        <v>80</v>
      </c>
    </row>
    <row r="56" spans="1:1" x14ac:dyDescent="0.2">
      <c r="A56" s="86" t="s">
        <v>108</v>
      </c>
    </row>
    <row r="57" spans="1:1" ht="13.5" thickBot="1" x14ac:dyDescent="0.25"/>
    <row r="58" spans="1:1" ht="14.25" thickTop="1" thickBot="1" x14ac:dyDescent="0.25">
      <c r="A58" s="37" t="s">
        <v>86</v>
      </c>
    </row>
    <row r="59" spans="1:1" ht="14.25" thickTop="1" thickBot="1" x14ac:dyDescent="0.25">
      <c r="A59" s="37" t="s">
        <v>85</v>
      </c>
    </row>
    <row r="60" spans="1:1" ht="13.5" thickTop="1" x14ac:dyDescent="0.2"/>
    <row r="61" spans="1:1" x14ac:dyDescent="0.2">
      <c r="A61" t="s">
        <v>110</v>
      </c>
    </row>
    <row r="62" spans="1:1" x14ac:dyDescent="0.2">
      <c r="A62" t="s">
        <v>111</v>
      </c>
    </row>
    <row r="63" spans="1:1" x14ac:dyDescent="0.2">
      <c r="A63" t="s">
        <v>112</v>
      </c>
    </row>
    <row r="66" spans="1:1" x14ac:dyDescent="0.2">
      <c r="A66" t="s">
        <v>90</v>
      </c>
    </row>
    <row r="67" spans="1:1" x14ac:dyDescent="0.2">
      <c r="A67" t="s">
        <v>88</v>
      </c>
    </row>
    <row r="68" spans="1:1" x14ac:dyDescent="0.2">
      <c r="A68" t="s">
        <v>89</v>
      </c>
    </row>
    <row r="69" spans="1:1" x14ac:dyDescent="0.2">
      <c r="A69" s="55">
        <v>42339</v>
      </c>
    </row>
  </sheetData>
  <sheetProtection algorithmName="SHA-512" hashValue="8jmAUdRDtBichDWk/56vR4jX8QP2xKW3fxmQG19N98Wdv0KJu1W5XZnkWk+hpiwZSiPGqiXrkppM1MXq2q0J1A==" saltValue="pJEAZhyYCX400f8J2ECVeA==" spinCount="100000" sheet="1" objects="1" scenarios="1"/>
  <hyperlinks>
    <hyperlink ref="A27" location="Legislation!A1" display="Legislation page"/>
    <hyperlink ref="A39" location="'Incorporation costs'!A1" display="Incorporation costs page"/>
    <hyperlink ref="A54" location="'Income and Tax'!A1" display="Income and Tax page"/>
    <hyperlink ref="A3" location="Summary!A1" display="Summary"/>
  </hyperlinks>
  <pageMargins left="0.7" right="0.7" top="0.75" bottom="0.75" header="0.3" footer="0.3"/>
  <pageSetup paperSize="9" scale="83"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9"/>
  <sheetViews>
    <sheetView tabSelected="1" zoomScaleNormal="100" workbookViewId="0">
      <selection activeCell="J28" sqref="J28"/>
    </sheetView>
  </sheetViews>
  <sheetFormatPr defaultRowHeight="12.75" x14ac:dyDescent="0.2"/>
  <cols>
    <col min="1" max="1" width="40.375" customWidth="1"/>
    <col min="2" max="2" width="6.75" style="54" customWidth="1"/>
    <col min="3" max="4" width="12.625" style="54" customWidth="1"/>
    <col min="5" max="5" width="9.875" customWidth="1"/>
    <col min="6" max="6" width="14.25" customWidth="1"/>
    <col min="7" max="8" width="13.125" customWidth="1"/>
    <col min="9" max="9" width="15" customWidth="1"/>
    <col min="10" max="15" width="13.125" customWidth="1"/>
  </cols>
  <sheetData>
    <row r="1" spans="1:10" ht="19.5" x14ac:dyDescent="0.25">
      <c r="A1" s="9" t="s">
        <v>92</v>
      </c>
    </row>
    <row r="2" spans="1:10" x14ac:dyDescent="0.2">
      <c r="E2" s="66" t="s">
        <v>101</v>
      </c>
    </row>
    <row r="3" spans="1:10" x14ac:dyDescent="0.2">
      <c r="E3" s="54"/>
    </row>
    <row r="4" spans="1:10" x14ac:dyDescent="0.2">
      <c r="A4" t="s">
        <v>11</v>
      </c>
      <c r="B4" s="67"/>
      <c r="E4" s="65">
        <v>166680</v>
      </c>
    </row>
    <row r="5" spans="1:10" x14ac:dyDescent="0.2">
      <c r="A5" t="s">
        <v>12</v>
      </c>
      <c r="D5" s="68" t="s">
        <v>84</v>
      </c>
      <c r="E5" s="65">
        <v>-25000</v>
      </c>
      <c r="H5" s="35" t="str">
        <f>+IF(E5&gt;0,"Error - cell d5 should be negative","")</f>
        <v/>
      </c>
    </row>
    <row r="6" spans="1:10" x14ac:dyDescent="0.2">
      <c r="A6" t="s">
        <v>13</v>
      </c>
      <c r="D6" s="67" t="str">
        <f>D5</f>
        <v>-ve</v>
      </c>
      <c r="E6" s="65">
        <v>-100000</v>
      </c>
      <c r="H6" s="35" t="str">
        <f>+IF(E6&gt;0,"Error - cell d6 should be negative","")</f>
        <v/>
      </c>
    </row>
    <row r="7" spans="1:10" s="12" customFormat="1" x14ac:dyDescent="0.2">
      <c r="A7" s="12" t="s">
        <v>93</v>
      </c>
      <c r="B7" s="71"/>
      <c r="C7" s="71"/>
      <c r="D7" s="71"/>
      <c r="E7" s="72">
        <f>SUM(E4:E6)</f>
        <v>41680</v>
      </c>
    </row>
    <row r="8" spans="1:10" s="12" customFormat="1" x14ac:dyDescent="0.2">
      <c r="B8" s="71"/>
      <c r="C8" s="71"/>
      <c r="D8" s="71"/>
      <c r="E8" s="72"/>
    </row>
    <row r="9" spans="1:10" x14ac:dyDescent="0.2">
      <c r="A9" t="s">
        <v>138</v>
      </c>
      <c r="E9" s="65">
        <v>0</v>
      </c>
    </row>
    <row r="10" spans="1:10" x14ac:dyDescent="0.2">
      <c r="A10" t="s">
        <v>10</v>
      </c>
      <c r="E10" s="65">
        <v>1000</v>
      </c>
    </row>
    <row r="11" spans="1:10" x14ac:dyDescent="0.2">
      <c r="C11" s="69"/>
      <c r="D11" s="69"/>
    </row>
    <row r="12" spans="1:10" x14ac:dyDescent="0.2">
      <c r="A12" t="s">
        <v>133</v>
      </c>
      <c r="C12" s="69"/>
      <c r="D12" s="97" t="s">
        <v>128</v>
      </c>
      <c r="E12" s="96">
        <f>'Income and Tax'!I89</f>
        <v>8140</v>
      </c>
      <c r="J12" s="3" t="s">
        <v>146</v>
      </c>
    </row>
    <row r="13" spans="1:10" x14ac:dyDescent="0.2">
      <c r="A13" t="s">
        <v>134</v>
      </c>
      <c r="C13" s="69"/>
      <c r="D13" s="97" t="s">
        <v>46</v>
      </c>
      <c r="E13" s="96">
        <f>'Income and Tax'!I90</f>
        <v>0</v>
      </c>
      <c r="J13" s="3" t="s">
        <v>154</v>
      </c>
    </row>
    <row r="14" spans="1:10" ht="15" x14ac:dyDescent="0.2">
      <c r="A14" t="s">
        <v>65</v>
      </c>
      <c r="C14" s="69"/>
      <c r="D14" s="69"/>
      <c r="E14" s="95">
        <v>0.85</v>
      </c>
      <c r="F14" s="70" t="str">
        <f>+IF(E14&gt;1,"Error - Cell B12 should be input as a value of 100% or less","")</f>
        <v/>
      </c>
      <c r="G14" s="70"/>
    </row>
    <row r="15" spans="1:10" x14ac:dyDescent="0.2">
      <c r="C15" s="69"/>
      <c r="D15" s="69"/>
    </row>
    <row r="16" spans="1:10" x14ac:dyDescent="0.2">
      <c r="C16" s="69"/>
      <c r="D16" s="69"/>
    </row>
    <row r="17" spans="1:17" s="64" customFormat="1" ht="34.5" customHeight="1" x14ac:dyDescent="0.25">
      <c r="A17" s="73" t="s">
        <v>104</v>
      </c>
      <c r="B17" s="74"/>
      <c r="C17" s="123" t="str">
        <f>'Income and Tax'!C1</f>
        <v>Direct Individual investment</v>
      </c>
      <c r="D17" s="124"/>
      <c r="F17" s="121" t="str">
        <f>'Income and Tax'!I1</f>
        <v>BTL investment via SPV</v>
      </c>
      <c r="G17" s="121"/>
      <c r="H17" s="122"/>
      <c r="I17" s="122"/>
      <c r="J17" s="122"/>
      <c r="P17" s="74"/>
      <c r="Q17" s="74"/>
    </row>
    <row r="18" spans="1:17" s="78" customFormat="1" ht="47.25" customHeight="1" x14ac:dyDescent="0.2">
      <c r="A18" s="75"/>
      <c r="B18" s="75"/>
      <c r="C18" s="76" t="str">
        <f>F18</f>
        <v>Personal Net Income (Primary Investor)</v>
      </c>
      <c r="D18" s="77" t="s">
        <v>105</v>
      </c>
      <c r="F18" s="76" t="s">
        <v>144</v>
      </c>
      <c r="G18" s="76" t="s">
        <v>145</v>
      </c>
      <c r="H18" s="76" t="s">
        <v>102</v>
      </c>
      <c r="I18" s="76" t="s">
        <v>103</v>
      </c>
      <c r="J18" s="77" t="s">
        <v>43</v>
      </c>
      <c r="K18" s="75"/>
      <c r="L18" s="75"/>
      <c r="M18" s="75"/>
      <c r="N18" s="75"/>
      <c r="O18" s="75"/>
      <c r="P18" s="75"/>
      <c r="Q18" s="75"/>
    </row>
    <row r="19" spans="1:17" s="64" customFormat="1" ht="18" x14ac:dyDescent="0.25">
      <c r="A19" s="79" t="s">
        <v>18</v>
      </c>
      <c r="C19" s="80">
        <f>+IF('Income and Tax'!C29="","",'Income and Tax'!C29)</f>
        <v>30986.5</v>
      </c>
      <c r="D19" s="81">
        <f>'Income and Tax'!C27</f>
        <v>11693.5</v>
      </c>
      <c r="E19" s="82"/>
      <c r="F19" s="80">
        <f>+IF('Income and Tax'!I29="","",'Income and Tax'!I29)</f>
        <v>23499.0514</v>
      </c>
      <c r="G19" s="80">
        <f>+IF('Income and Tax'!I31="","",'Income and Tax'!I31)</f>
        <v>0</v>
      </c>
      <c r="H19" s="80">
        <f>+IF('Income and Tax'!I33="","",'Income and Tax'!I33)</f>
        <v>2712.7919999999995</v>
      </c>
      <c r="I19" s="80">
        <f>F19+G19+H19</f>
        <v>26211.843399999998</v>
      </c>
      <c r="J19" s="81">
        <f>+IF('Income and Tax'!I38="","",'Income and Tax'!I38)</f>
        <v>5534.7565999999997</v>
      </c>
      <c r="K19" s="74" t="str">
        <f>+IF('Income and Tax'!I30="","",'Income and Tax'!I30)</f>
        <v/>
      </c>
      <c r="L19" s="74" t="str">
        <f>+IF('Income and Tax'!J30="","",'Income and Tax'!J30)</f>
        <v/>
      </c>
      <c r="M19" s="74" t="str">
        <f>+IF('Income and Tax'!K30="","",'Income and Tax'!K30)</f>
        <v/>
      </c>
      <c r="N19" s="74" t="str">
        <f>+IF('Income and Tax'!L30="","",'Income and Tax'!L30)</f>
        <v/>
      </c>
      <c r="O19" s="74" t="str">
        <f>+IF('Income and Tax'!M30="","",'Income and Tax'!M30)</f>
        <v/>
      </c>
    </row>
    <row r="20" spans="1:17" s="64" customFormat="1" x14ac:dyDescent="0.2">
      <c r="A20" s="79" t="s">
        <v>1</v>
      </c>
      <c r="C20" s="80">
        <f>+IF('Income and Tax'!D29="","",'Income and Tax'!D29)</f>
        <v>31968</v>
      </c>
      <c r="D20" s="81">
        <f>'Income and Tax'!D27</f>
        <v>10712</v>
      </c>
      <c r="E20" s="82"/>
      <c r="F20" s="80">
        <f>+IF('Income and Tax'!J29="","",'Income and Tax'!J29)</f>
        <v>24302.295792499997</v>
      </c>
      <c r="G20" s="80">
        <f>+IF('Income and Tax'!J31="","",'Income and Tax'!J31)</f>
        <v>0</v>
      </c>
      <c r="H20" s="80">
        <f>+IF('Income and Tax'!J33="","",'Income and Tax'!J33)</f>
        <v>2746.7019</v>
      </c>
      <c r="I20" s="80">
        <f t="shared" ref="I20:I23" si="0">F20+G20+H20</f>
        <v>27048.997692499997</v>
      </c>
      <c r="J20" s="81">
        <f>+IF('Income and Tax'!J38="","",'Income and Tax'!J38)</f>
        <v>4697.6023074999994</v>
      </c>
    </row>
    <row r="21" spans="1:17" s="64" customFormat="1" ht="18" x14ac:dyDescent="0.25">
      <c r="A21" s="79" t="s">
        <v>2</v>
      </c>
      <c r="C21" s="80">
        <f>+IF('Income and Tax'!E29="","",'Income and Tax'!E29)</f>
        <v>26968</v>
      </c>
      <c r="D21" s="81">
        <f>'Income and Tax'!E27</f>
        <v>15712</v>
      </c>
      <c r="E21" s="82"/>
      <c r="F21" s="80">
        <f>+IF('Income and Tax'!K29="","",'Income and Tax'!K29)</f>
        <v>24302.295792499997</v>
      </c>
      <c r="G21" s="80">
        <f>+IF('Income and Tax'!K31="","",'Income and Tax'!K31)</f>
        <v>0</v>
      </c>
      <c r="H21" s="80">
        <f>+IF('Income and Tax'!K33="","",'Income and Tax'!K33)</f>
        <v>2746.7019</v>
      </c>
      <c r="I21" s="80">
        <f t="shared" si="0"/>
        <v>27048.997692499997</v>
      </c>
      <c r="J21" s="81">
        <f>+IF('Income and Tax'!K38="","",'Income and Tax'!K38)</f>
        <v>4697.6023074999994</v>
      </c>
      <c r="K21" s="74" t="str">
        <f>+IF('Income and Tax'!I34="","",'Income and Tax'!I34)</f>
        <v/>
      </c>
      <c r="L21" s="74" t="str">
        <f>+IF('Income and Tax'!J34="","",'Income and Tax'!J34)</f>
        <v/>
      </c>
      <c r="M21" s="74" t="str">
        <f>+IF('Income and Tax'!K34="","",'Income and Tax'!K34)</f>
        <v/>
      </c>
      <c r="N21" s="74" t="str">
        <f>+IF('Income and Tax'!L34="","",'Income and Tax'!L34)</f>
        <v/>
      </c>
      <c r="O21" s="74" t="str">
        <f>+IF('Income and Tax'!M34="","",'Income and Tax'!M34)</f>
        <v/>
      </c>
    </row>
    <row r="22" spans="1:17" s="64" customFormat="1" x14ac:dyDescent="0.2">
      <c r="A22" s="79" t="s">
        <v>3</v>
      </c>
      <c r="C22" s="80">
        <f>+IF('Income and Tax'!F29="","",'Income and Tax'!F29)</f>
        <v>18432</v>
      </c>
      <c r="D22" s="81">
        <f>'Income and Tax'!F27</f>
        <v>24248</v>
      </c>
      <c r="E22" s="82"/>
      <c r="F22" s="80">
        <f>+IF('Income and Tax'!L29="","",'Income and Tax'!L29)</f>
        <v>24302.295792499997</v>
      </c>
      <c r="G22" s="80">
        <f>+IF('Income and Tax'!L31="","",'Income and Tax'!L31)</f>
        <v>0</v>
      </c>
      <c r="H22" s="80">
        <f>+IF('Income and Tax'!L33="","",'Income and Tax'!L33)</f>
        <v>2746.7019</v>
      </c>
      <c r="I22" s="80">
        <f t="shared" si="0"/>
        <v>27048.997692499997</v>
      </c>
      <c r="J22" s="81">
        <f>+IF('Income and Tax'!L38="","",'Income and Tax'!L38)</f>
        <v>4697.6023074999994</v>
      </c>
    </row>
    <row r="23" spans="1:17" s="64" customFormat="1" ht="18" x14ac:dyDescent="0.25">
      <c r="A23" s="79" t="s">
        <v>4</v>
      </c>
      <c r="C23" s="80">
        <f>+IF('Income and Tax'!G29="","",'Income and Tax'!G29)</f>
        <v>12488</v>
      </c>
      <c r="D23" s="81">
        <f>'Income and Tax'!G27</f>
        <v>30192</v>
      </c>
      <c r="E23" s="82"/>
      <c r="F23" s="80">
        <f>+IF('Income and Tax'!M29="","",'Income and Tax'!M29)</f>
        <v>24480.040184999998</v>
      </c>
      <c r="G23" s="80">
        <f>+IF('Income and Tax'!M31="","",'Income and Tax'!M31)</f>
        <v>0</v>
      </c>
      <c r="H23" s="80">
        <f>+IF('Income and Tax'!M33="","",'Income and Tax'!M33)</f>
        <v>2780.6118000000006</v>
      </c>
      <c r="I23" s="80">
        <f t="shared" si="0"/>
        <v>27260.651984999997</v>
      </c>
      <c r="J23" s="81">
        <f>+IF('Income and Tax'!M38="","",'Income and Tax'!M38)</f>
        <v>4485.9480149999999</v>
      </c>
      <c r="K23" s="74" t="str">
        <f>+IF('Income and Tax'!I36="","",'Income and Tax'!I36)</f>
        <v/>
      </c>
      <c r="L23" s="74" t="str">
        <f>+IF('Income and Tax'!J36="","",'Income and Tax'!J36)</f>
        <v/>
      </c>
      <c r="M23" s="74" t="str">
        <f>+IF('Income and Tax'!K36="","",'Income and Tax'!K36)</f>
        <v/>
      </c>
      <c r="N23" s="74" t="str">
        <f>+IF('Income and Tax'!L36="","",'Income and Tax'!L36)</f>
        <v/>
      </c>
      <c r="O23" s="74" t="str">
        <f>+IF('Income and Tax'!M36="","",'Income and Tax'!M36)</f>
        <v/>
      </c>
    </row>
    <row r="24" spans="1:17" s="64" customFormat="1" ht="18" x14ac:dyDescent="0.25">
      <c r="A24" s="79"/>
      <c r="C24" s="80"/>
      <c r="D24" s="81"/>
      <c r="E24" s="82"/>
      <c r="F24" s="80"/>
      <c r="G24" s="80"/>
      <c r="H24" s="80"/>
      <c r="I24" s="80"/>
      <c r="J24" s="81"/>
      <c r="K24" s="74"/>
      <c r="L24" s="74"/>
      <c r="M24" s="74"/>
      <c r="N24" s="74"/>
      <c r="O24" s="74"/>
    </row>
    <row r="25" spans="1:17" s="64" customFormat="1" ht="38.25" customHeight="1" x14ac:dyDescent="0.25">
      <c r="A25" s="125" t="s">
        <v>141</v>
      </c>
      <c r="B25" s="126"/>
      <c r="C25" s="126"/>
      <c r="D25" s="126"/>
      <c r="K25" s="74" t="str">
        <f>+IF('Income and Tax'!I37="","",'Income and Tax'!I37)</f>
        <v/>
      </c>
      <c r="L25" s="74" t="str">
        <f>+IF('Income and Tax'!J37="","",'Income and Tax'!J37)</f>
        <v/>
      </c>
      <c r="M25" s="74" t="str">
        <f>+IF('Income and Tax'!K37="","",'Income and Tax'!K37)</f>
        <v/>
      </c>
      <c r="N25" s="74" t="str">
        <f>+IF('Income and Tax'!L37="","",'Income and Tax'!L37)</f>
        <v/>
      </c>
      <c r="O25" s="74" t="str">
        <f>+IF('Income and Tax'!M37="","",'Income and Tax'!M37)</f>
        <v/>
      </c>
    </row>
    <row r="26" spans="1:17" s="64" customFormat="1" x14ac:dyDescent="0.2">
      <c r="A26" s="125" t="s">
        <v>107</v>
      </c>
      <c r="B26" s="126"/>
      <c r="C26" s="126"/>
      <c r="D26" s="126"/>
    </row>
    <row r="27" spans="1:17" ht="18" x14ac:dyDescent="0.25">
      <c r="A27" s="126"/>
      <c r="B27" s="126"/>
      <c r="C27" s="126"/>
      <c r="D27" s="126"/>
      <c r="K27" s="10" t="str">
        <f>+IF('Income and Tax'!I39="","",'Income and Tax'!I39)</f>
        <v/>
      </c>
      <c r="L27" s="10" t="str">
        <f>+IF('Income and Tax'!J39="","",'Income and Tax'!J39)</f>
        <v/>
      </c>
      <c r="M27" s="10" t="str">
        <f>+IF('Income and Tax'!K39="","",'Income and Tax'!K39)</f>
        <v/>
      </c>
      <c r="N27" s="10" t="str">
        <f>+IF('Income and Tax'!L39="","",'Income and Tax'!L39)</f>
        <v/>
      </c>
      <c r="O27" s="10" t="str">
        <f>+IF('Income and Tax'!M39="","",'Income and Tax'!M39)</f>
        <v/>
      </c>
    </row>
    <row r="28" spans="1:17" ht="18" x14ac:dyDescent="0.25">
      <c r="A28" s="126"/>
      <c r="B28" s="126"/>
      <c r="C28" s="126"/>
      <c r="D28" s="126"/>
      <c r="H28" s="83"/>
      <c r="I28" s="84" t="s">
        <v>106</v>
      </c>
      <c r="J28" s="85">
        <f ca="1">TODAY()</f>
        <v>42367</v>
      </c>
      <c r="K28" s="10" t="str">
        <f>+IF('Income and Tax'!I40="","",'Income and Tax'!I40)</f>
        <v/>
      </c>
      <c r="L28" s="10" t="str">
        <f>+IF('Income and Tax'!J40="","",'Income and Tax'!J40)</f>
        <v/>
      </c>
      <c r="M28" s="10" t="str">
        <f>+IF('Income and Tax'!K40="","",'Income and Tax'!K40)</f>
        <v/>
      </c>
      <c r="N28" s="10" t="str">
        <f>+IF('Income and Tax'!L40="","",'Income and Tax'!L40)</f>
        <v/>
      </c>
      <c r="O28" s="10" t="str">
        <f>+IF('Income and Tax'!M40="","",'Income and Tax'!M40)</f>
        <v/>
      </c>
    </row>
    <row r="29" spans="1:17" x14ac:dyDescent="0.2">
      <c r="H29" s="83"/>
      <c r="I29" s="83"/>
      <c r="J29" s="83"/>
    </row>
  </sheetData>
  <sheetProtection algorithmName="SHA-512" hashValue="MZAgAIc9SMxNCBoEkxnspft3grui4xYOcL5rfSUOG4T8ZwJl5nIROI8Q6O70ex9Ca7KpnLzVzY+YTdNvgO5WYw==" saltValue="HWJJt5BZAqF2Q9UzWWICbQ==" spinCount="100000" sheet="1" objects="1" scenarios="1"/>
  <mergeCells count="4">
    <mergeCell ref="F17:J17"/>
    <mergeCell ref="C17:D17"/>
    <mergeCell ref="A26:D28"/>
    <mergeCell ref="A25:D25"/>
  </mergeCells>
  <pageMargins left="0.7" right="0.7" top="0.75" bottom="0.75" header="0.3" footer="0.3"/>
  <pageSetup paperSize="9" scale="78" orientation="landscape" verticalDpi="0" r:id="rId1"/>
  <headerFooter>
    <oddHeader>&amp;C&amp;"Lucida Sans,Bold"&amp;20&amp;UIncome &amp; Tax Summary</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8"/>
  <sheetViews>
    <sheetView topLeftCell="A7" workbookViewId="0">
      <selection activeCell="D36" sqref="D36"/>
    </sheetView>
  </sheetViews>
  <sheetFormatPr defaultRowHeight="12.75" x14ac:dyDescent="0.2"/>
  <cols>
    <col min="1" max="1" width="40" customWidth="1"/>
    <col min="2" max="2" width="10.25" customWidth="1"/>
    <col min="3" max="3" width="10.375" bestFit="1" customWidth="1"/>
    <col min="7" max="7" width="3.375" customWidth="1"/>
  </cols>
  <sheetData>
    <row r="1" spans="1:6" ht="19.5" x14ac:dyDescent="0.25">
      <c r="A1" s="9" t="s">
        <v>7</v>
      </c>
      <c r="B1" s="7"/>
    </row>
    <row r="2" spans="1:6" ht="19.5" x14ac:dyDescent="0.25">
      <c r="A2" s="9"/>
      <c r="B2" s="7"/>
    </row>
    <row r="3" spans="1:6" x14ac:dyDescent="0.2">
      <c r="A3" s="7"/>
      <c r="B3" s="7"/>
      <c r="C3" s="4" t="s">
        <v>1</v>
      </c>
      <c r="D3" s="4" t="str">
        <f>D8</f>
        <v>2018/19</v>
      </c>
      <c r="E3" s="4" t="str">
        <f t="shared" ref="E3:F3" si="0">E8</f>
        <v>2019/20</v>
      </c>
      <c r="F3" s="4" t="str">
        <f t="shared" si="0"/>
        <v>2020/21</v>
      </c>
    </row>
    <row r="4" spans="1:6" x14ac:dyDescent="0.2">
      <c r="A4" s="7" t="s">
        <v>41</v>
      </c>
      <c r="B4" s="7"/>
      <c r="C4" s="6">
        <v>2.5000000000000001E-2</v>
      </c>
      <c r="D4" s="6">
        <v>2.5000000000000001E-2</v>
      </c>
      <c r="E4" s="6">
        <v>0.03</v>
      </c>
      <c r="F4" s="6">
        <v>0.03</v>
      </c>
    </row>
    <row r="5" spans="1:6" x14ac:dyDescent="0.2">
      <c r="A5" s="11" t="s">
        <v>67</v>
      </c>
      <c r="B5" s="87" t="s">
        <v>46</v>
      </c>
    </row>
    <row r="7" spans="1:6" x14ac:dyDescent="0.2">
      <c r="A7" t="s">
        <v>42</v>
      </c>
      <c r="C7" s="1">
        <f>+IF($B5="y",C4,0)</f>
        <v>0</v>
      </c>
      <c r="D7" s="1">
        <f>+IF($B5="y",D4,0)</f>
        <v>0</v>
      </c>
      <c r="E7" s="1">
        <f t="shared" ref="E7:F7" si="1">+IF($B5="y",E4,0)</f>
        <v>0</v>
      </c>
      <c r="F7" s="1">
        <f t="shared" si="1"/>
        <v>0</v>
      </c>
    </row>
    <row r="8" spans="1:6" x14ac:dyDescent="0.2">
      <c r="A8" s="3" t="s">
        <v>0</v>
      </c>
      <c r="B8" s="4" t="s">
        <v>18</v>
      </c>
      <c r="C8" s="4" t="s">
        <v>1</v>
      </c>
      <c r="D8" s="4" t="s">
        <v>2</v>
      </c>
      <c r="E8" s="4" t="s">
        <v>3</v>
      </c>
      <c r="F8" s="4" t="s">
        <v>4</v>
      </c>
    </row>
    <row r="9" spans="1:6" x14ac:dyDescent="0.2">
      <c r="A9" s="98">
        <v>0</v>
      </c>
      <c r="B9" s="99">
        <v>11000</v>
      </c>
      <c r="C9" s="99">
        <v>11200</v>
      </c>
      <c r="D9" s="69">
        <f>(1+D$7)*C9</f>
        <v>11200</v>
      </c>
      <c r="E9" s="69">
        <f t="shared" ref="E9:F9" si="2">(1+E$7)*D9</f>
        <v>11200</v>
      </c>
      <c r="F9" s="69">
        <f t="shared" si="2"/>
        <v>11200</v>
      </c>
    </row>
    <row r="10" spans="1:6" x14ac:dyDescent="0.2">
      <c r="A10" s="98">
        <v>0.2</v>
      </c>
      <c r="B10" s="99">
        <v>32000</v>
      </c>
      <c r="C10" s="99">
        <v>32400</v>
      </c>
      <c r="D10" s="69">
        <f t="shared" ref="D10:F10" si="3">(1+D$7)*C10</f>
        <v>32400</v>
      </c>
      <c r="E10" s="69">
        <f t="shared" si="3"/>
        <v>32400</v>
      </c>
      <c r="F10" s="69">
        <f t="shared" si="3"/>
        <v>32400</v>
      </c>
    </row>
    <row r="11" spans="1:6" x14ac:dyDescent="0.2">
      <c r="A11" s="98">
        <v>0.4</v>
      </c>
      <c r="B11" s="99">
        <f>150000-B10</f>
        <v>118000</v>
      </c>
      <c r="C11" s="99">
        <f t="shared" ref="C11:F11" si="4">150000-C10</f>
        <v>117600</v>
      </c>
      <c r="D11" s="69">
        <f t="shared" si="4"/>
        <v>117600</v>
      </c>
      <c r="E11" s="69">
        <f t="shared" si="4"/>
        <v>117600</v>
      </c>
      <c r="F11" s="69">
        <f t="shared" si="4"/>
        <v>117600</v>
      </c>
    </row>
    <row r="12" spans="1:6" x14ac:dyDescent="0.2">
      <c r="A12" s="98">
        <v>0.45</v>
      </c>
      <c r="B12" s="69"/>
      <c r="C12" s="69"/>
      <c r="D12" s="69"/>
      <c r="E12" s="69"/>
      <c r="F12" s="69"/>
    </row>
    <row r="13" spans="1:6" x14ac:dyDescent="0.2">
      <c r="A13" s="2" t="s">
        <v>31</v>
      </c>
      <c r="B13" s="69">
        <v>100000</v>
      </c>
      <c r="C13" s="69">
        <v>100000</v>
      </c>
      <c r="D13" s="69">
        <v>100000</v>
      </c>
      <c r="E13" s="69">
        <v>100000</v>
      </c>
      <c r="F13" s="69">
        <v>100000</v>
      </c>
    </row>
    <row r="14" spans="1:6" x14ac:dyDescent="0.2">
      <c r="A14" s="2" t="s">
        <v>32</v>
      </c>
      <c r="B14" s="69">
        <f>B13+B9/B15</f>
        <v>122000</v>
      </c>
      <c r="C14" s="69">
        <f t="shared" ref="C14:F14" si="5">C13+C9/C15</f>
        <v>122400</v>
      </c>
      <c r="D14" s="69">
        <f t="shared" si="5"/>
        <v>122400</v>
      </c>
      <c r="E14" s="69">
        <f t="shared" si="5"/>
        <v>122400</v>
      </c>
      <c r="F14" s="69">
        <f t="shared" si="5"/>
        <v>122400</v>
      </c>
    </row>
    <row r="15" spans="1:6" x14ac:dyDescent="0.2">
      <c r="A15" s="2" t="s">
        <v>47</v>
      </c>
      <c r="B15" s="100">
        <v>0.5</v>
      </c>
      <c r="C15" s="100">
        <f>B15</f>
        <v>0.5</v>
      </c>
      <c r="D15" s="98">
        <f t="shared" ref="D15:F15" si="6">C15</f>
        <v>0.5</v>
      </c>
      <c r="E15" s="98">
        <f t="shared" si="6"/>
        <v>0.5</v>
      </c>
      <c r="F15" s="98">
        <f t="shared" si="6"/>
        <v>0.5</v>
      </c>
    </row>
    <row r="16" spans="1:6" x14ac:dyDescent="0.2">
      <c r="A16" s="2" t="s">
        <v>17</v>
      </c>
      <c r="B16" s="98"/>
      <c r="C16" s="100">
        <v>0.25</v>
      </c>
      <c r="D16" s="100">
        <v>0.5</v>
      </c>
      <c r="E16" s="100">
        <v>0.75</v>
      </c>
      <c r="F16" s="100">
        <v>1</v>
      </c>
    </row>
    <row r="17" spans="1:6" x14ac:dyDescent="0.2">
      <c r="B17" s="54"/>
      <c r="C17" s="54"/>
      <c r="D17" s="54"/>
      <c r="E17" s="54"/>
      <c r="F17" s="54"/>
    </row>
    <row r="18" spans="1:6" x14ac:dyDescent="0.2">
      <c r="A18" s="94" t="s">
        <v>126</v>
      </c>
      <c r="B18" s="54"/>
      <c r="C18" s="54"/>
      <c r="D18" s="54"/>
      <c r="E18" s="54"/>
      <c r="F18" s="54"/>
    </row>
    <row r="19" spans="1:6" x14ac:dyDescent="0.2">
      <c r="A19" s="98">
        <v>0</v>
      </c>
      <c r="B19" s="69">
        <v>8140</v>
      </c>
      <c r="C19" s="69">
        <f>(1+C$7)*B19</f>
        <v>8140</v>
      </c>
      <c r="D19" s="69">
        <f>(1+D$7)*C19</f>
        <v>8140</v>
      </c>
      <c r="E19" s="69">
        <f t="shared" ref="E19:F19" si="7">(1+E$7)*D19</f>
        <v>8140</v>
      </c>
      <c r="F19" s="69">
        <f t="shared" si="7"/>
        <v>8140</v>
      </c>
    </row>
    <row r="20" spans="1:6" x14ac:dyDescent="0.2">
      <c r="A20" s="98">
        <v>0.12</v>
      </c>
      <c r="B20" s="99">
        <f>B9+B10</f>
        <v>43000</v>
      </c>
      <c r="C20" s="99">
        <f t="shared" ref="C20:F20" si="8">C9+C10</f>
        <v>43600</v>
      </c>
      <c r="D20" s="69">
        <f t="shared" si="8"/>
        <v>43600</v>
      </c>
      <c r="E20" s="69">
        <f t="shared" si="8"/>
        <v>43600</v>
      </c>
      <c r="F20" s="69">
        <f t="shared" si="8"/>
        <v>43600</v>
      </c>
    </row>
    <row r="21" spans="1:6" x14ac:dyDescent="0.2">
      <c r="A21" s="98">
        <v>0.02</v>
      </c>
      <c r="B21" s="54" t="s">
        <v>129</v>
      </c>
      <c r="C21" s="54"/>
      <c r="D21" s="54"/>
      <c r="E21" s="54"/>
      <c r="F21" s="54"/>
    </row>
    <row r="22" spans="1:6" x14ac:dyDescent="0.2">
      <c r="A22" t="s">
        <v>127</v>
      </c>
      <c r="B22" s="101">
        <v>0.13800000000000001</v>
      </c>
      <c r="C22" s="54" t="s">
        <v>130</v>
      </c>
      <c r="D22" s="54"/>
      <c r="E22" s="54"/>
      <c r="F22" s="54"/>
    </row>
    <row r="23" spans="1:6" x14ac:dyDescent="0.2">
      <c r="B23" s="101"/>
      <c r="C23" s="54"/>
      <c r="D23" s="54"/>
      <c r="E23" s="54"/>
      <c r="F23" s="54"/>
    </row>
    <row r="24" spans="1:6" x14ac:dyDescent="0.2">
      <c r="B24" s="102" t="str">
        <f>B8</f>
        <v>2016/17</v>
      </c>
      <c r="C24" s="102" t="str">
        <f>C8</f>
        <v>2017/18</v>
      </c>
      <c r="D24" s="102" t="str">
        <f>D8</f>
        <v>2018/19</v>
      </c>
      <c r="E24" s="102" t="str">
        <f>E8</f>
        <v>2019/20</v>
      </c>
      <c r="F24" s="102" t="str">
        <f>F8</f>
        <v>2020/21</v>
      </c>
    </row>
    <row r="25" spans="1:6" x14ac:dyDescent="0.2">
      <c r="A25" s="31" t="s">
        <v>5</v>
      </c>
      <c r="B25" s="100">
        <v>0.2</v>
      </c>
      <c r="C25" s="100">
        <v>0.19</v>
      </c>
      <c r="D25" s="100">
        <f>C25</f>
        <v>0.19</v>
      </c>
      <c r="E25" s="100">
        <f t="shared" ref="E25" si="9">D25</f>
        <v>0.19</v>
      </c>
      <c r="F25" s="100">
        <v>0.18</v>
      </c>
    </row>
    <row r="26" spans="1:6" x14ac:dyDescent="0.2">
      <c r="A26" t="s">
        <v>8</v>
      </c>
      <c r="B26" s="54"/>
      <c r="C26" s="54"/>
      <c r="D26" s="54"/>
      <c r="E26" s="54"/>
      <c r="F26" s="54"/>
    </row>
    <row r="27" spans="1:6" x14ac:dyDescent="0.2">
      <c r="A27" s="98">
        <f>A9</f>
        <v>0</v>
      </c>
      <c r="B27" s="98"/>
      <c r="C27" s="54"/>
      <c r="D27" s="54"/>
      <c r="E27" s="54"/>
      <c r="F27" s="54"/>
    </row>
    <row r="28" spans="1:6" x14ac:dyDescent="0.2">
      <c r="A28" s="98">
        <f>A10</f>
        <v>0.2</v>
      </c>
      <c r="B28" s="103">
        <v>7.4999999999999997E-2</v>
      </c>
      <c r="C28" s="101">
        <f>B28</f>
        <v>7.4999999999999997E-2</v>
      </c>
      <c r="D28" s="101">
        <f t="shared" ref="D28:F28" si="10">C28</f>
        <v>7.4999999999999997E-2</v>
      </c>
      <c r="E28" s="101">
        <f t="shared" si="10"/>
        <v>7.4999999999999997E-2</v>
      </c>
      <c r="F28" s="101">
        <f t="shared" si="10"/>
        <v>7.4999999999999997E-2</v>
      </c>
    </row>
    <row r="29" spans="1:6" x14ac:dyDescent="0.2">
      <c r="A29" s="98">
        <f>A11</f>
        <v>0.4</v>
      </c>
      <c r="B29" s="103">
        <v>0.32500000000000001</v>
      </c>
      <c r="C29" s="101">
        <f t="shared" ref="C29:F31" si="11">B29</f>
        <v>0.32500000000000001</v>
      </c>
      <c r="D29" s="101">
        <f t="shared" si="11"/>
        <v>0.32500000000000001</v>
      </c>
      <c r="E29" s="101">
        <f t="shared" si="11"/>
        <v>0.32500000000000001</v>
      </c>
      <c r="F29" s="101">
        <f t="shared" si="11"/>
        <v>0.32500000000000001</v>
      </c>
    </row>
    <row r="30" spans="1:6" x14ac:dyDescent="0.2">
      <c r="A30" s="98">
        <f>A12</f>
        <v>0.45</v>
      </c>
      <c r="B30" s="103">
        <v>0.38100000000000001</v>
      </c>
      <c r="C30" s="101">
        <f t="shared" si="11"/>
        <v>0.38100000000000001</v>
      </c>
      <c r="D30" s="101">
        <f t="shared" si="11"/>
        <v>0.38100000000000001</v>
      </c>
      <c r="E30" s="101">
        <f t="shared" si="11"/>
        <v>0.38100000000000001</v>
      </c>
      <c r="F30" s="101">
        <f t="shared" si="11"/>
        <v>0.38100000000000001</v>
      </c>
    </row>
    <row r="31" spans="1:6" x14ac:dyDescent="0.2">
      <c r="A31" s="3" t="s">
        <v>6</v>
      </c>
      <c r="B31" s="104">
        <v>5000</v>
      </c>
      <c r="C31" s="105">
        <f t="shared" si="11"/>
        <v>5000</v>
      </c>
      <c r="D31" s="105">
        <f t="shared" si="11"/>
        <v>5000</v>
      </c>
      <c r="E31" s="105">
        <f t="shared" si="11"/>
        <v>5000</v>
      </c>
      <c r="F31" s="105">
        <f t="shared" si="11"/>
        <v>5000</v>
      </c>
    </row>
    <row r="32" spans="1:6" x14ac:dyDescent="0.2">
      <c r="B32" s="54"/>
      <c r="C32" s="54"/>
      <c r="D32" s="54"/>
      <c r="E32" s="54"/>
      <c r="F32" s="54"/>
    </row>
    <row r="33" spans="1:6" x14ac:dyDescent="0.2">
      <c r="A33" t="s">
        <v>49</v>
      </c>
      <c r="B33" s="54"/>
      <c r="C33" s="54"/>
      <c r="D33" s="54"/>
      <c r="E33" s="54"/>
      <c r="F33" s="54"/>
    </row>
    <row r="34" spans="1:6" x14ac:dyDescent="0.2">
      <c r="A34" s="54">
        <v>125000</v>
      </c>
      <c r="B34" s="100">
        <v>0</v>
      </c>
      <c r="C34" s="54"/>
      <c r="D34" s="54"/>
      <c r="E34" s="54"/>
      <c r="F34" s="54"/>
    </row>
    <row r="35" spans="1:6" x14ac:dyDescent="0.2">
      <c r="A35" s="54">
        <v>250000</v>
      </c>
      <c r="B35" s="100">
        <v>0.02</v>
      </c>
      <c r="C35" s="54"/>
      <c r="D35" s="54"/>
      <c r="E35" s="54"/>
      <c r="F35" s="54"/>
    </row>
    <row r="36" spans="1:6" x14ac:dyDescent="0.2">
      <c r="A36" s="54">
        <v>925000</v>
      </c>
      <c r="B36" s="100">
        <v>0.05</v>
      </c>
      <c r="C36" s="54"/>
      <c r="D36" s="54"/>
      <c r="E36" s="54"/>
      <c r="F36" s="54"/>
    </row>
    <row r="37" spans="1:6" x14ac:dyDescent="0.2">
      <c r="A37" s="54">
        <v>1500000</v>
      </c>
      <c r="B37" s="100">
        <v>0.1</v>
      </c>
      <c r="C37" s="54"/>
      <c r="D37" s="54"/>
      <c r="E37" s="54"/>
      <c r="F37" s="54"/>
    </row>
    <row r="38" spans="1:6" x14ac:dyDescent="0.2">
      <c r="A38" t="s">
        <v>50</v>
      </c>
      <c r="B38" s="100">
        <v>0.12</v>
      </c>
      <c r="C38" s="54"/>
      <c r="D38" s="54"/>
      <c r="E38" s="54"/>
      <c r="F38" s="54"/>
    </row>
    <row r="39" spans="1:6" x14ac:dyDescent="0.2">
      <c r="A39" t="s">
        <v>81</v>
      </c>
      <c r="B39" s="100">
        <v>0.01</v>
      </c>
      <c r="C39" s="54"/>
      <c r="D39" s="54"/>
      <c r="E39" s="54"/>
      <c r="F39" s="54"/>
    </row>
    <row r="40" spans="1:6" s="64" customFormat="1" x14ac:dyDescent="0.2">
      <c r="A40" s="64" t="s">
        <v>179</v>
      </c>
      <c r="B40" s="109">
        <v>0.03</v>
      </c>
      <c r="C40" s="64" t="s">
        <v>180</v>
      </c>
      <c r="D40" s="110">
        <v>42461</v>
      </c>
    </row>
    <row r="41" spans="1:6" s="64" customFormat="1" x14ac:dyDescent="0.2">
      <c r="A41" s="64" t="s">
        <v>182</v>
      </c>
      <c r="B41" s="111">
        <v>40000</v>
      </c>
    </row>
    <row r="42" spans="1:6" s="64" customFormat="1" x14ac:dyDescent="0.2"/>
    <row r="43" spans="1:6" s="64" customFormat="1" x14ac:dyDescent="0.2">
      <c r="A43" s="64" t="s">
        <v>184</v>
      </c>
    </row>
    <row r="44" spans="1:6" s="64" customFormat="1" x14ac:dyDescent="0.2">
      <c r="A44" s="64">
        <v>150000</v>
      </c>
      <c r="B44" s="109">
        <v>0</v>
      </c>
    </row>
    <row r="45" spans="1:6" s="64" customFormat="1" x14ac:dyDescent="0.2">
      <c r="A45" s="64">
        <v>250000</v>
      </c>
      <c r="B45" s="109">
        <v>0.01</v>
      </c>
    </row>
    <row r="46" spans="1:6" s="64" customFormat="1" x14ac:dyDescent="0.2">
      <c r="A46" s="64">
        <v>500000</v>
      </c>
      <c r="B46" s="109">
        <v>0.03</v>
      </c>
    </row>
    <row r="47" spans="1:6" s="64" customFormat="1" x14ac:dyDescent="0.2">
      <c r="A47" s="79" t="s">
        <v>185</v>
      </c>
      <c r="B47" s="109">
        <v>0.04</v>
      </c>
    </row>
    <row r="48" spans="1:6" s="64" customFormat="1" ht="14.25" customHeight="1" x14ac:dyDescent="0.2">
      <c r="A48" s="79" t="s">
        <v>186</v>
      </c>
      <c r="B48" s="114">
        <v>6</v>
      </c>
      <c r="C48" s="64" t="s">
        <v>187</v>
      </c>
    </row>
    <row r="49" spans="1:6" x14ac:dyDescent="0.2">
      <c r="B49" s="54"/>
      <c r="C49" s="54"/>
      <c r="D49" s="54"/>
      <c r="E49" s="54"/>
      <c r="F49" s="54"/>
    </row>
    <row r="50" spans="1:6" x14ac:dyDescent="0.2">
      <c r="A50" t="s">
        <v>63</v>
      </c>
      <c r="B50" s="89">
        <v>100</v>
      </c>
      <c r="C50" s="54"/>
      <c r="D50" s="54"/>
      <c r="E50" s="54"/>
      <c r="F50" s="54"/>
    </row>
    <row r="51" spans="1:6" x14ac:dyDescent="0.2">
      <c r="A51" t="s">
        <v>64</v>
      </c>
      <c r="B51" s="88">
        <v>1E-3</v>
      </c>
      <c r="C51" s="54" t="s">
        <v>56</v>
      </c>
      <c r="D51" s="89">
        <v>500</v>
      </c>
      <c r="E51" s="54"/>
      <c r="F51" s="54"/>
    </row>
    <row r="52" spans="1:6" x14ac:dyDescent="0.2">
      <c r="B52" s="54"/>
      <c r="C52" s="54"/>
      <c r="D52" s="54"/>
      <c r="E52" s="54"/>
      <c r="F52" s="54"/>
    </row>
    <row r="53" spans="1:6" x14ac:dyDescent="0.2">
      <c r="A53" t="s">
        <v>14</v>
      </c>
      <c r="B53" s="54"/>
      <c r="C53" s="88">
        <v>5.0000000000000001E-3</v>
      </c>
      <c r="D53" s="54" t="s">
        <v>15</v>
      </c>
      <c r="E53" s="54"/>
      <c r="F53" s="54"/>
    </row>
    <row r="54" spans="1:6" x14ac:dyDescent="0.2">
      <c r="A54" t="s">
        <v>66</v>
      </c>
      <c r="B54" s="54"/>
      <c r="C54" s="90">
        <v>100</v>
      </c>
      <c r="D54" s="54" t="s">
        <v>16</v>
      </c>
      <c r="E54" s="91">
        <v>0.5</v>
      </c>
      <c r="F54" s="54" t="s">
        <v>48</v>
      </c>
    </row>
    <row r="55" spans="1:6" x14ac:dyDescent="0.2">
      <c r="B55" s="54"/>
      <c r="C55" s="54"/>
      <c r="D55" s="54"/>
      <c r="E55" s="54"/>
      <c r="F55" s="54"/>
    </row>
    <row r="56" spans="1:6" x14ac:dyDescent="0.2">
      <c r="B56" s="54"/>
      <c r="C56" s="54"/>
      <c r="D56" s="54"/>
      <c r="E56" s="54"/>
      <c r="F56" s="54"/>
    </row>
    <row r="57" spans="1:6" x14ac:dyDescent="0.2">
      <c r="A57" s="20" t="s">
        <v>44</v>
      </c>
      <c r="B57" s="54"/>
      <c r="C57" s="54"/>
      <c r="D57" s="54"/>
      <c r="E57" s="54"/>
      <c r="F57" s="54"/>
    </row>
    <row r="58" spans="1:6" x14ac:dyDescent="0.2">
      <c r="B58" s="54"/>
      <c r="C58" s="54"/>
      <c r="D58" s="54"/>
      <c r="E58" s="54"/>
      <c r="F58" s="54"/>
    </row>
  </sheetData>
  <sheetProtection algorithmName="SHA-512" hashValue="NaTmqDPPE2VkNBnDgo4n139VImSgszKrb2uQZ0ISm6LrwlKouvAvp66kq6F/7IVPAg8QKnekAU0Pv9LBROG2eg==" saltValue="SJ2d5H5x3yLMcajoKS12Mg==" spinCount="100000" sheet="1" objects="1" scenarios="1"/>
  <pageMargins left="0.7" right="0.7" top="0.75" bottom="0.75" header="0.3" footer="0.3"/>
  <pageSetup paperSize="9" scale="86"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90"/>
  <sheetViews>
    <sheetView workbookViewId="0">
      <selection activeCell="E34" sqref="E34"/>
    </sheetView>
  </sheetViews>
  <sheetFormatPr defaultRowHeight="12.75" x14ac:dyDescent="0.2"/>
  <cols>
    <col min="1" max="1" width="19.75" customWidth="1"/>
    <col min="2" max="2" width="15.875" customWidth="1"/>
    <col min="3" max="3" width="18.625" customWidth="1"/>
    <col min="4" max="4" width="11.625" customWidth="1"/>
    <col min="5" max="5" width="12.625" customWidth="1"/>
  </cols>
  <sheetData>
    <row r="1" spans="1:4" ht="19.5" x14ac:dyDescent="0.25">
      <c r="A1" s="9" t="s">
        <v>51</v>
      </c>
    </row>
    <row r="2" spans="1:4" x14ac:dyDescent="0.2">
      <c r="B2" t="s">
        <v>54</v>
      </c>
      <c r="C2" s="22">
        <f>+IF(D133&gt;B89-1,E141,D141)</f>
        <v>210000</v>
      </c>
    </row>
    <row r="3" spans="1:4" x14ac:dyDescent="0.2">
      <c r="B3" t="s">
        <v>55</v>
      </c>
      <c r="C3" s="22">
        <f>SUM(D29:D67)</f>
        <v>5750</v>
      </c>
    </row>
    <row r="4" spans="1:4" x14ac:dyDescent="0.2">
      <c r="B4" t="s">
        <v>57</v>
      </c>
      <c r="C4" s="22">
        <f>Legislation!B50</f>
        <v>100</v>
      </c>
    </row>
    <row r="5" spans="1:4" s="7" customFormat="1" x14ac:dyDescent="0.2">
      <c r="B5" s="7" t="s">
        <v>58</v>
      </c>
      <c r="C5" s="23">
        <f>SUM(C2:C4)</f>
        <v>215850</v>
      </c>
    </row>
    <row r="6" spans="1:4" s="7" customFormat="1" x14ac:dyDescent="0.2">
      <c r="C6" s="23"/>
    </row>
    <row r="7" spans="1:4" s="7" customFormat="1" x14ac:dyDescent="0.2">
      <c r="A7" s="12" t="s">
        <v>181</v>
      </c>
      <c r="C7" s="23"/>
      <c r="D7" s="112">
        <v>42461</v>
      </c>
    </row>
    <row r="8" spans="1:4" x14ac:dyDescent="0.2">
      <c r="C8" s="22"/>
    </row>
    <row r="9" spans="1:4" x14ac:dyDescent="0.2">
      <c r="A9" t="s">
        <v>183</v>
      </c>
    </row>
    <row r="10" spans="1:4" x14ac:dyDescent="0.2">
      <c r="A10" t="s">
        <v>60</v>
      </c>
    </row>
    <row r="11" spans="1:4" x14ac:dyDescent="0.2">
      <c r="A11" t="s">
        <v>61</v>
      </c>
    </row>
    <row r="12" spans="1:4" x14ac:dyDescent="0.2">
      <c r="A12" t="s">
        <v>59</v>
      </c>
    </row>
    <row r="14" spans="1:4" x14ac:dyDescent="0.2">
      <c r="A14" s="7" t="s">
        <v>198</v>
      </c>
    </row>
    <row r="15" spans="1:4" x14ac:dyDescent="0.2">
      <c r="A15" s="7" t="s">
        <v>199</v>
      </c>
    </row>
    <row r="16" spans="1:4" x14ac:dyDescent="0.2">
      <c r="A16" s="7" t="s">
        <v>200</v>
      </c>
    </row>
    <row r="17" spans="1:5" x14ac:dyDescent="0.2">
      <c r="A17" s="7"/>
    </row>
    <row r="18" spans="1:5" x14ac:dyDescent="0.2">
      <c r="D18" s="119" t="s">
        <v>195</v>
      </c>
      <c r="E18" s="119" t="s">
        <v>194</v>
      </c>
    </row>
    <row r="19" spans="1:5" x14ac:dyDescent="0.2">
      <c r="A19" s="7" t="s">
        <v>189</v>
      </c>
      <c r="D19" s="120">
        <f>D139</f>
        <v>320000</v>
      </c>
      <c r="E19" s="120">
        <f>+IF(D133&lt;2,"N/A",D140)</f>
        <v>320000</v>
      </c>
    </row>
    <row r="20" spans="1:5" x14ac:dyDescent="0.2">
      <c r="A20" s="7" t="s">
        <v>201</v>
      </c>
      <c r="D20" s="120">
        <f>+IF(D133&lt;Legislation!B48,"N/A",'Incorporation costs'!E139)</f>
        <v>210000</v>
      </c>
      <c r="E20" s="120" t="s">
        <v>202</v>
      </c>
    </row>
    <row r="21" spans="1:5" x14ac:dyDescent="0.2">
      <c r="A21" s="7"/>
      <c r="D21" s="116"/>
    </row>
    <row r="22" spans="1:5" s="26" customFormat="1" x14ac:dyDescent="0.2">
      <c r="A22" s="26" t="s">
        <v>205</v>
      </c>
      <c r="E22" s="113"/>
    </row>
    <row r="23" spans="1:5" s="26" customFormat="1" x14ac:dyDescent="0.2">
      <c r="A23" s="26" t="s">
        <v>203</v>
      </c>
      <c r="E23" s="113"/>
    </row>
    <row r="24" spans="1:5" s="26" customFormat="1" x14ac:dyDescent="0.2">
      <c r="A24" s="26" t="s">
        <v>204</v>
      </c>
      <c r="D24" s="128">
        <f>+D143</f>
        <v>210000</v>
      </c>
      <c r="E24" s="113"/>
    </row>
    <row r="25" spans="1:5" x14ac:dyDescent="0.2">
      <c r="A25" s="26" t="s">
        <v>207</v>
      </c>
    </row>
    <row r="26" spans="1:5" x14ac:dyDescent="0.2">
      <c r="A26" s="26" t="s">
        <v>208</v>
      </c>
    </row>
    <row r="28" spans="1:5" x14ac:dyDescent="0.2">
      <c r="A28" t="s">
        <v>52</v>
      </c>
      <c r="B28" s="24" t="s">
        <v>53</v>
      </c>
      <c r="C28" s="24" t="s">
        <v>206</v>
      </c>
      <c r="D28" s="24" t="s">
        <v>55</v>
      </c>
    </row>
    <row r="29" spans="1:5" x14ac:dyDescent="0.2">
      <c r="A29" s="54"/>
      <c r="B29" s="50">
        <v>300000</v>
      </c>
      <c r="C29" s="16">
        <f>+IF(A91=0,"",A91)</f>
        <v>14000</v>
      </c>
      <c r="D29" s="16">
        <f>+IF(B91=0,"",B91)</f>
        <v>500</v>
      </c>
      <c r="E29" s="16"/>
    </row>
    <row r="30" spans="1:5" x14ac:dyDescent="0.2">
      <c r="A30" s="54"/>
      <c r="B30" s="50">
        <f>B29+50000</f>
        <v>350000</v>
      </c>
      <c r="C30" s="16">
        <f t="shared" ref="C30:D30" si="0">+IF(A92=0,"",A92)</f>
        <v>18000</v>
      </c>
      <c r="D30" s="16">
        <f t="shared" si="0"/>
        <v>500</v>
      </c>
      <c r="E30" s="16"/>
    </row>
    <row r="31" spans="1:5" x14ac:dyDescent="0.2">
      <c r="A31" s="54"/>
      <c r="B31" s="50">
        <f t="shared" ref="B31:B38" si="1">B30+50000</f>
        <v>400000</v>
      </c>
      <c r="C31" s="16">
        <f t="shared" ref="C31:D31" si="2">+IF(A93=0,"",A93)</f>
        <v>22000</v>
      </c>
      <c r="D31" s="16">
        <f t="shared" si="2"/>
        <v>500</v>
      </c>
      <c r="E31" s="16"/>
    </row>
    <row r="32" spans="1:5" x14ac:dyDescent="0.2">
      <c r="A32" s="54"/>
      <c r="B32" s="50">
        <f t="shared" si="1"/>
        <v>450000</v>
      </c>
      <c r="C32" s="16">
        <f t="shared" ref="C32:D32" si="3">+IF(A94=0,"",A94)</f>
        <v>26000</v>
      </c>
      <c r="D32" s="16">
        <f t="shared" si="3"/>
        <v>500</v>
      </c>
      <c r="E32" s="16"/>
    </row>
    <row r="33" spans="1:5" x14ac:dyDescent="0.2">
      <c r="A33" s="54"/>
      <c r="B33" s="50">
        <f t="shared" si="1"/>
        <v>500000</v>
      </c>
      <c r="C33" s="16">
        <f t="shared" ref="C33:D33" si="4">+IF(A95=0,"",A95)</f>
        <v>30000</v>
      </c>
      <c r="D33" s="16">
        <f t="shared" si="4"/>
        <v>500</v>
      </c>
      <c r="E33" s="16"/>
    </row>
    <row r="34" spans="1:5" x14ac:dyDescent="0.2">
      <c r="A34" s="54"/>
      <c r="B34" s="50">
        <f t="shared" si="1"/>
        <v>550000</v>
      </c>
      <c r="C34" s="16">
        <f t="shared" ref="C34:D34" si="5">+IF(A96=0,"",A96)</f>
        <v>34000</v>
      </c>
      <c r="D34" s="16">
        <f t="shared" si="5"/>
        <v>550</v>
      </c>
      <c r="E34" s="16"/>
    </row>
    <row r="35" spans="1:5" x14ac:dyDescent="0.2">
      <c r="A35" s="54"/>
      <c r="B35" s="50">
        <f t="shared" si="1"/>
        <v>600000</v>
      </c>
      <c r="C35" s="16">
        <f t="shared" ref="C35:D35" si="6">+IF(A97=0,"",A97)</f>
        <v>38000</v>
      </c>
      <c r="D35" s="16">
        <f t="shared" si="6"/>
        <v>600</v>
      </c>
      <c r="E35" s="16"/>
    </row>
    <row r="36" spans="1:5" x14ac:dyDescent="0.2">
      <c r="A36" s="54"/>
      <c r="B36" s="50">
        <f t="shared" si="1"/>
        <v>650000</v>
      </c>
      <c r="C36" s="16">
        <f t="shared" ref="C36:D36" si="7">+IF(A98=0,"",A98)</f>
        <v>42000</v>
      </c>
      <c r="D36" s="16">
        <f t="shared" si="7"/>
        <v>650</v>
      </c>
      <c r="E36" s="16"/>
    </row>
    <row r="37" spans="1:5" x14ac:dyDescent="0.2">
      <c r="A37" s="54"/>
      <c r="B37" s="50">
        <f t="shared" si="1"/>
        <v>700000</v>
      </c>
      <c r="C37" s="16">
        <f t="shared" ref="C37:D37" si="8">+IF(A99=0,"",A99)</f>
        <v>46000</v>
      </c>
      <c r="D37" s="16">
        <f t="shared" si="8"/>
        <v>700</v>
      </c>
      <c r="E37" s="16"/>
    </row>
    <row r="38" spans="1:5" x14ac:dyDescent="0.2">
      <c r="A38" s="54"/>
      <c r="B38" s="50">
        <f t="shared" si="1"/>
        <v>750000</v>
      </c>
      <c r="C38" s="16">
        <f t="shared" ref="C38:D38" si="9">+IF(A100=0,"",A100)</f>
        <v>50000</v>
      </c>
      <c r="D38" s="16">
        <f t="shared" si="9"/>
        <v>750</v>
      </c>
      <c r="E38" s="16"/>
    </row>
    <row r="39" spans="1:5" x14ac:dyDescent="0.2">
      <c r="A39" s="54"/>
      <c r="B39" s="50"/>
      <c r="C39" s="16" t="str">
        <f t="shared" ref="C39:D39" si="10">+IF(A101=0,"",A101)</f>
        <v/>
      </c>
      <c r="D39" s="16" t="str">
        <f t="shared" si="10"/>
        <v/>
      </c>
      <c r="E39" s="16"/>
    </row>
    <row r="40" spans="1:5" x14ac:dyDescent="0.2">
      <c r="A40" s="54"/>
      <c r="B40" s="50"/>
      <c r="C40" s="16" t="str">
        <f t="shared" ref="C40:D40" si="11">+IF(A102=0,"",A102)</f>
        <v/>
      </c>
      <c r="D40" s="16" t="str">
        <f t="shared" si="11"/>
        <v/>
      </c>
      <c r="E40" s="16"/>
    </row>
    <row r="41" spans="1:5" x14ac:dyDescent="0.2">
      <c r="A41" s="54"/>
      <c r="B41" s="50"/>
      <c r="C41" s="16" t="str">
        <f t="shared" ref="C41:D41" si="12">+IF(A103=0,"",A103)</f>
        <v/>
      </c>
      <c r="D41" s="16" t="str">
        <f t="shared" si="12"/>
        <v/>
      </c>
      <c r="E41" s="16"/>
    </row>
    <row r="42" spans="1:5" x14ac:dyDescent="0.2">
      <c r="A42" s="54"/>
      <c r="B42" s="50"/>
      <c r="C42" s="16" t="str">
        <f t="shared" ref="C42:D42" si="13">+IF(A104=0,"",A104)</f>
        <v/>
      </c>
      <c r="D42" s="16" t="str">
        <f t="shared" si="13"/>
        <v/>
      </c>
      <c r="E42" s="16"/>
    </row>
    <row r="43" spans="1:5" x14ac:dyDescent="0.2">
      <c r="A43" s="54"/>
      <c r="B43" s="50"/>
      <c r="C43" s="16" t="str">
        <f t="shared" ref="C43:D43" si="14">+IF(A105=0,"",A105)</f>
        <v/>
      </c>
      <c r="D43" s="16" t="str">
        <f t="shared" si="14"/>
        <v/>
      </c>
      <c r="E43" s="16"/>
    </row>
    <row r="44" spans="1:5" x14ac:dyDescent="0.2">
      <c r="A44" s="54"/>
      <c r="B44" s="50"/>
      <c r="C44" s="16" t="str">
        <f t="shared" ref="C44:D44" si="15">+IF(A106=0,"",A106)</f>
        <v/>
      </c>
      <c r="D44" s="16" t="str">
        <f t="shared" si="15"/>
        <v/>
      </c>
      <c r="E44" s="16"/>
    </row>
    <row r="45" spans="1:5" x14ac:dyDescent="0.2">
      <c r="A45" s="54"/>
      <c r="B45" s="50"/>
      <c r="C45" s="16" t="str">
        <f t="shared" ref="C45:D45" si="16">+IF(A107=0,"",A107)</f>
        <v/>
      </c>
      <c r="D45" s="16" t="str">
        <f t="shared" si="16"/>
        <v/>
      </c>
      <c r="E45" s="16"/>
    </row>
    <row r="46" spans="1:5" x14ac:dyDescent="0.2">
      <c r="A46" s="54"/>
      <c r="B46" s="50"/>
      <c r="C46" s="16" t="str">
        <f t="shared" ref="C46:D46" si="17">+IF(A108=0,"",A108)</f>
        <v/>
      </c>
      <c r="D46" s="16" t="str">
        <f t="shared" si="17"/>
        <v/>
      </c>
      <c r="E46" s="16"/>
    </row>
    <row r="47" spans="1:5" x14ac:dyDescent="0.2">
      <c r="A47" s="54"/>
      <c r="B47" s="50"/>
      <c r="C47" s="16" t="str">
        <f t="shared" ref="C47:D47" si="18">+IF(A109=0,"",A109)</f>
        <v/>
      </c>
      <c r="D47" s="16" t="str">
        <f t="shared" si="18"/>
        <v/>
      </c>
      <c r="E47" s="16"/>
    </row>
    <row r="48" spans="1:5" x14ac:dyDescent="0.2">
      <c r="A48" s="54"/>
      <c r="B48" s="50"/>
      <c r="C48" s="16" t="str">
        <f t="shared" ref="C48:D48" si="19">+IF(A110=0,"",A110)</f>
        <v/>
      </c>
      <c r="D48" s="16" t="str">
        <f t="shared" si="19"/>
        <v/>
      </c>
      <c r="E48" s="16"/>
    </row>
    <row r="49" spans="1:5" x14ac:dyDescent="0.2">
      <c r="A49" s="54"/>
      <c r="B49" s="50"/>
      <c r="C49" s="16" t="str">
        <f t="shared" ref="C49:D49" si="20">+IF(A111=0,"",A111)</f>
        <v/>
      </c>
      <c r="D49" s="16" t="str">
        <f t="shared" si="20"/>
        <v/>
      </c>
      <c r="E49" s="16"/>
    </row>
    <row r="50" spans="1:5" x14ac:dyDescent="0.2">
      <c r="A50" s="54"/>
      <c r="B50" s="50"/>
      <c r="C50" s="16" t="str">
        <f t="shared" ref="C50:D50" si="21">+IF(A112=0,"",A112)</f>
        <v/>
      </c>
      <c r="D50" s="16" t="str">
        <f t="shared" si="21"/>
        <v/>
      </c>
      <c r="E50" s="16"/>
    </row>
    <row r="51" spans="1:5" x14ac:dyDescent="0.2">
      <c r="A51" s="54"/>
      <c r="B51" s="50"/>
      <c r="C51" s="16" t="str">
        <f t="shared" ref="C51:D51" si="22">+IF(A113=0,"",A113)</f>
        <v/>
      </c>
      <c r="D51" s="16" t="str">
        <f t="shared" si="22"/>
        <v/>
      </c>
      <c r="E51" s="16"/>
    </row>
    <row r="52" spans="1:5" x14ac:dyDescent="0.2">
      <c r="A52" s="54"/>
      <c r="B52" s="50"/>
      <c r="C52" s="16" t="str">
        <f t="shared" ref="C52:D52" si="23">+IF(A114=0,"",A114)</f>
        <v/>
      </c>
      <c r="D52" s="16" t="str">
        <f t="shared" si="23"/>
        <v/>
      </c>
      <c r="E52" s="16"/>
    </row>
    <row r="53" spans="1:5" x14ac:dyDescent="0.2">
      <c r="A53" s="54"/>
      <c r="B53" s="50"/>
      <c r="C53" s="16" t="str">
        <f t="shared" ref="C53:D53" si="24">+IF(A115=0,"",A115)</f>
        <v/>
      </c>
      <c r="D53" s="16" t="str">
        <f t="shared" si="24"/>
        <v/>
      </c>
      <c r="E53" s="16"/>
    </row>
    <row r="54" spans="1:5" x14ac:dyDescent="0.2">
      <c r="A54" s="54"/>
      <c r="B54" s="50"/>
      <c r="C54" s="16" t="str">
        <f t="shared" ref="C54:D54" si="25">+IF(A116=0,"",A116)</f>
        <v/>
      </c>
      <c r="D54" s="16" t="str">
        <f t="shared" si="25"/>
        <v/>
      </c>
      <c r="E54" s="16"/>
    </row>
    <row r="55" spans="1:5" x14ac:dyDescent="0.2">
      <c r="A55" s="54"/>
      <c r="B55" s="50"/>
      <c r="C55" s="16" t="str">
        <f t="shared" ref="C55:D55" si="26">+IF(A117=0,"",A117)</f>
        <v/>
      </c>
      <c r="D55" s="16" t="str">
        <f t="shared" si="26"/>
        <v/>
      </c>
      <c r="E55" s="16"/>
    </row>
    <row r="56" spans="1:5" x14ac:dyDescent="0.2">
      <c r="A56" s="54"/>
      <c r="B56" s="50"/>
      <c r="C56" s="16" t="str">
        <f t="shared" ref="C56:D56" si="27">+IF(A118=0,"",A118)</f>
        <v/>
      </c>
      <c r="D56" s="16" t="str">
        <f t="shared" si="27"/>
        <v/>
      </c>
      <c r="E56" s="16"/>
    </row>
    <row r="57" spans="1:5" x14ac:dyDescent="0.2">
      <c r="A57" s="54"/>
      <c r="B57" s="50"/>
      <c r="C57" s="16" t="str">
        <f t="shared" ref="C57:D57" si="28">+IF(A119=0,"",A119)</f>
        <v/>
      </c>
      <c r="D57" s="16" t="str">
        <f t="shared" si="28"/>
        <v/>
      </c>
      <c r="E57" s="16"/>
    </row>
    <row r="58" spans="1:5" x14ac:dyDescent="0.2">
      <c r="A58" s="54"/>
      <c r="B58" s="50"/>
      <c r="C58" s="16" t="str">
        <f t="shared" ref="C58:D58" si="29">+IF(A120=0,"",A120)</f>
        <v/>
      </c>
      <c r="D58" s="16" t="str">
        <f t="shared" si="29"/>
        <v/>
      </c>
      <c r="E58" s="16"/>
    </row>
    <row r="59" spans="1:5" x14ac:dyDescent="0.2">
      <c r="A59" s="54"/>
      <c r="B59" s="50"/>
      <c r="C59" s="16" t="str">
        <f t="shared" ref="C59:D59" si="30">+IF(A121=0,"",A121)</f>
        <v/>
      </c>
      <c r="D59" s="16" t="str">
        <f t="shared" si="30"/>
        <v/>
      </c>
      <c r="E59" s="16"/>
    </row>
    <row r="60" spans="1:5" x14ac:dyDescent="0.2">
      <c r="A60" s="54"/>
      <c r="B60" s="50"/>
      <c r="C60" s="16" t="str">
        <f t="shared" ref="C60:D60" si="31">+IF(A122=0,"",A122)</f>
        <v/>
      </c>
      <c r="D60" s="16" t="str">
        <f t="shared" si="31"/>
        <v/>
      </c>
      <c r="E60" s="16"/>
    </row>
    <row r="61" spans="1:5" x14ac:dyDescent="0.2">
      <c r="A61" s="54"/>
      <c r="B61" s="50"/>
      <c r="C61" s="16" t="str">
        <f t="shared" ref="C61:D61" si="32">+IF(A123=0,"",A123)</f>
        <v/>
      </c>
      <c r="D61" s="16" t="str">
        <f t="shared" si="32"/>
        <v/>
      </c>
      <c r="E61" s="16"/>
    </row>
    <row r="62" spans="1:5" x14ac:dyDescent="0.2">
      <c r="A62" s="54"/>
      <c r="B62" s="50"/>
      <c r="C62" s="16" t="str">
        <f t="shared" ref="C62:D62" si="33">+IF(A124=0,"",A124)</f>
        <v/>
      </c>
      <c r="D62" s="16" t="str">
        <f t="shared" si="33"/>
        <v/>
      </c>
      <c r="E62" s="16"/>
    </row>
    <row r="63" spans="1:5" x14ac:dyDescent="0.2">
      <c r="A63" s="54"/>
      <c r="B63" s="50"/>
      <c r="C63" s="16" t="str">
        <f t="shared" ref="C63:D63" si="34">+IF(A125=0,"",A125)</f>
        <v/>
      </c>
      <c r="D63" s="16" t="str">
        <f t="shared" si="34"/>
        <v/>
      </c>
      <c r="E63" s="16"/>
    </row>
    <row r="64" spans="1:5" x14ac:dyDescent="0.2">
      <c r="A64" s="54"/>
      <c r="B64" s="50"/>
      <c r="C64" s="16" t="str">
        <f t="shared" ref="C64:D64" si="35">+IF(A126=0,"",A126)</f>
        <v/>
      </c>
      <c r="D64" s="16" t="str">
        <f t="shared" si="35"/>
        <v/>
      </c>
      <c r="E64" s="16"/>
    </row>
    <row r="65" spans="1:5" x14ac:dyDescent="0.2">
      <c r="A65" s="54"/>
      <c r="B65" s="50"/>
      <c r="C65" s="16" t="str">
        <f t="shared" ref="C65:D65" si="36">+IF(A127=0,"",A127)</f>
        <v/>
      </c>
      <c r="D65" s="16" t="str">
        <f t="shared" si="36"/>
        <v/>
      </c>
      <c r="E65" s="16"/>
    </row>
    <row r="66" spans="1:5" x14ac:dyDescent="0.2">
      <c r="A66" s="54"/>
      <c r="B66" s="50"/>
      <c r="C66" s="16"/>
      <c r="D66" s="16"/>
      <c r="E66" s="16"/>
    </row>
    <row r="67" spans="1:5" x14ac:dyDescent="0.2">
      <c r="A67" s="54"/>
      <c r="B67" s="50"/>
      <c r="C67" s="16"/>
      <c r="D67" s="16"/>
      <c r="E67" s="16"/>
    </row>
    <row r="68" spans="1:5" x14ac:dyDescent="0.2">
      <c r="B68" s="16"/>
      <c r="C68" s="16"/>
      <c r="D68" s="16"/>
      <c r="E68" s="16"/>
    </row>
    <row r="69" spans="1:5" x14ac:dyDescent="0.2">
      <c r="B69" s="16"/>
      <c r="C69" s="16"/>
      <c r="D69" s="16"/>
      <c r="E69" s="16"/>
    </row>
    <row r="70" spans="1:5" x14ac:dyDescent="0.2">
      <c r="B70" s="16"/>
      <c r="C70" s="16"/>
      <c r="D70" s="16"/>
      <c r="E70" s="16"/>
    </row>
    <row r="71" spans="1:5" x14ac:dyDescent="0.2">
      <c r="B71" s="16"/>
      <c r="C71" s="16"/>
      <c r="D71" s="16"/>
      <c r="E71" s="16"/>
    </row>
    <row r="72" spans="1:5" ht="12" customHeight="1" x14ac:dyDescent="0.2">
      <c r="A72" s="43"/>
      <c r="B72" s="53"/>
      <c r="C72" s="53"/>
      <c r="D72" s="53"/>
      <c r="E72" s="16"/>
    </row>
    <row r="73" spans="1:5" ht="12" hidden="1" customHeight="1" x14ac:dyDescent="0.2">
      <c r="A73" s="40" t="s">
        <v>45</v>
      </c>
      <c r="B73" s="53"/>
      <c r="C73" s="53"/>
      <c r="D73" s="53"/>
    </row>
    <row r="74" spans="1:5" ht="12" hidden="1" customHeight="1" x14ac:dyDescent="0.2">
      <c r="A74" s="43" t="str">
        <f>Legislation!A33</f>
        <v>SDLT rates - to top limit</v>
      </c>
      <c r="B74" s="43">
        <f>Legislation!B33+IF(D$7&gt;Legislation!D$40-1,Legislation!B$40,0)</f>
        <v>0.03</v>
      </c>
      <c r="C74" s="53"/>
      <c r="D74" s="53"/>
    </row>
    <row r="75" spans="1:5" ht="12" hidden="1" customHeight="1" x14ac:dyDescent="0.2">
      <c r="A75" s="43">
        <f>Legislation!A34</f>
        <v>125000</v>
      </c>
      <c r="B75" s="43">
        <f>Legislation!B34+IF(D$7&gt;Legislation!D$40-1,Legislation!B$40,0)</f>
        <v>0.03</v>
      </c>
      <c r="C75" s="53">
        <f>B75*A75</f>
        <v>3750</v>
      </c>
      <c r="D75" s="53"/>
    </row>
    <row r="76" spans="1:5" ht="12" hidden="1" customHeight="1" x14ac:dyDescent="0.2">
      <c r="A76" s="43">
        <f>Legislation!A35</f>
        <v>250000</v>
      </c>
      <c r="B76" s="43">
        <f>Legislation!B35+IF(D$7&gt;Legislation!D$40-1,Legislation!B$40,0)</f>
        <v>0.05</v>
      </c>
      <c r="C76" s="53">
        <f>(238333-A75)*B76</f>
        <v>5666.6500000000005</v>
      </c>
      <c r="D76" s="53"/>
    </row>
    <row r="77" spans="1:5" ht="12" hidden="1" customHeight="1" x14ac:dyDescent="0.2">
      <c r="A77" s="43">
        <f>Legislation!A36</f>
        <v>925000</v>
      </c>
      <c r="B77" s="43">
        <f>Legislation!B36+IF(D$7&gt;Legislation!D$40-1,Legislation!B$40,0)</f>
        <v>0.08</v>
      </c>
      <c r="C77" s="53">
        <f>SUM(C75:C76)</f>
        <v>9416.6500000000015</v>
      </c>
      <c r="D77" s="53"/>
    </row>
    <row r="78" spans="1:5" ht="12" hidden="1" customHeight="1" x14ac:dyDescent="0.2">
      <c r="A78" s="43">
        <f>Legislation!A37</f>
        <v>1500000</v>
      </c>
      <c r="B78" s="43">
        <f>Legislation!B37+IF(D$7&gt;Legislation!D$40-1,Legislation!B$40,0)</f>
        <v>0.13</v>
      </c>
      <c r="C78" s="53"/>
      <c r="D78" s="53"/>
    </row>
    <row r="79" spans="1:5" ht="12" hidden="1" customHeight="1" x14ac:dyDescent="0.2">
      <c r="A79" s="43" t="str">
        <f>Legislation!A38</f>
        <v>over</v>
      </c>
      <c r="B79" s="43">
        <f>Legislation!B38+IF(D$7&gt;Legislation!D$40-1,Legislation!B$40,0)</f>
        <v>0.15</v>
      </c>
      <c r="C79" s="53"/>
      <c r="D79" s="53"/>
    </row>
    <row r="80" spans="1:5" ht="12" hidden="1" customHeight="1" x14ac:dyDescent="0.2">
      <c r="A80" s="43" t="str">
        <f>Legislation!A39</f>
        <v>Minimum rate for MDR relief</v>
      </c>
      <c r="B80" s="43">
        <f>Legislation!B39</f>
        <v>0.01</v>
      </c>
      <c r="C80" s="53"/>
      <c r="D80" s="53"/>
    </row>
    <row r="81" spans="1:5" ht="12" hidden="1" customHeight="1" x14ac:dyDescent="0.2">
      <c r="A81" s="43" t="str">
        <f>Legislation!A40</f>
        <v>BTL SDLT supplement</v>
      </c>
      <c r="B81" s="43">
        <f>Legislation!B40</f>
        <v>0.03</v>
      </c>
      <c r="C81" s="43" t="str">
        <f>Legislation!C40</f>
        <v xml:space="preserve">from </v>
      </c>
      <c r="D81" s="43">
        <f>Legislation!D40</f>
        <v>42461</v>
      </c>
      <c r="E81" s="43"/>
    </row>
    <row r="82" spans="1:5" ht="12" hidden="1" customHeight="1" x14ac:dyDescent="0.2">
      <c r="A82" s="43" t="str">
        <f>Legislation!A41</f>
        <v xml:space="preserve">on purchases in excess of </v>
      </c>
      <c r="B82" s="43">
        <f>Legislation!B41</f>
        <v>40000</v>
      </c>
      <c r="C82" s="53"/>
      <c r="D82" s="53"/>
    </row>
    <row r="83" spans="1:5" ht="12" hidden="1" customHeight="1" x14ac:dyDescent="0.2">
      <c r="A83" s="43">
        <f>Legislation!A42</f>
        <v>0</v>
      </c>
      <c r="B83" s="43">
        <f>Legislation!B42</f>
        <v>0</v>
      </c>
      <c r="C83" s="53"/>
      <c r="D83" s="53"/>
    </row>
    <row r="84" spans="1:5" ht="12" hidden="1" customHeight="1" x14ac:dyDescent="0.2">
      <c r="A84" s="43" t="str">
        <f>Legislation!A43</f>
        <v>SDLT - non residential</v>
      </c>
      <c r="B84" s="43">
        <f>Legislation!B43</f>
        <v>0</v>
      </c>
      <c r="C84" s="53"/>
      <c r="D84" s="53"/>
    </row>
    <row r="85" spans="1:5" ht="12" hidden="1" customHeight="1" x14ac:dyDescent="0.2">
      <c r="A85" s="43">
        <f>Legislation!A44</f>
        <v>150000</v>
      </c>
      <c r="B85" s="43">
        <f>Legislation!B44</f>
        <v>0</v>
      </c>
      <c r="C85" s="53"/>
      <c r="D85" s="53"/>
    </row>
    <row r="86" spans="1:5" ht="12" hidden="1" customHeight="1" x14ac:dyDescent="0.2">
      <c r="A86" s="43">
        <f>Legislation!A45</f>
        <v>250000</v>
      </c>
      <c r="B86" s="43">
        <f>Legislation!B45</f>
        <v>0.01</v>
      </c>
      <c r="C86" s="53"/>
      <c r="D86" s="53"/>
    </row>
    <row r="87" spans="1:5" ht="12" hidden="1" customHeight="1" x14ac:dyDescent="0.2">
      <c r="A87" s="43">
        <f>Legislation!A46</f>
        <v>500000</v>
      </c>
      <c r="B87" s="43">
        <f>Legislation!B46</f>
        <v>0.03</v>
      </c>
      <c r="C87" s="53"/>
      <c r="D87" s="53"/>
    </row>
    <row r="88" spans="1:5" ht="12" hidden="1" customHeight="1" x14ac:dyDescent="0.2">
      <c r="A88" s="43" t="str">
        <f>Legislation!A47</f>
        <v>Above</v>
      </c>
      <c r="B88" s="43">
        <f>Legislation!B47</f>
        <v>0.04</v>
      </c>
      <c r="C88" s="53"/>
      <c r="D88" s="53"/>
    </row>
    <row r="89" spans="1:5" ht="12" hidden="1" customHeight="1" x14ac:dyDescent="0.2">
      <c r="A89" s="43" t="str">
        <f>Legislation!A48</f>
        <v>Applicable to portfolios of</v>
      </c>
      <c r="B89" s="43">
        <f>Legislation!B48</f>
        <v>6</v>
      </c>
      <c r="C89" s="53"/>
      <c r="D89" s="53"/>
    </row>
    <row r="90" spans="1:5" ht="12" hidden="1" customHeight="1" x14ac:dyDescent="0.2">
      <c r="A90" s="46" t="s">
        <v>193</v>
      </c>
      <c r="B90" s="43"/>
      <c r="C90" s="53"/>
      <c r="D90" s="53"/>
      <c r="E90" t="s">
        <v>192</v>
      </c>
    </row>
    <row r="91" spans="1:5" ht="12" hidden="1" customHeight="1" x14ac:dyDescent="0.2">
      <c r="A91" s="53">
        <f>+(C91*B$75+IF(C91&gt;A$75,C91-A$75,0)*(B$76-B$75)+IF(C91&gt;A$76,C91-A$76,0)*(B$77-B$76)+IF(C91&gt;A$77,C91-A$77,0)*(B$78-B$77)+IF(C91&gt;A$78,C91-A$78,0)*(B$79-B$78))*IF(C91&lt;B$82,0,1)</f>
        <v>14000</v>
      </c>
      <c r="B91" s="53">
        <f>IF(Legislation!D$51&gt;Legislation!B$51*'Incorporation costs'!B29,Legislation!D$51,Legislation!B$51*'Incorporation costs'!B29)-IF(B29=0,Legislation!D$51,0)</f>
        <v>500</v>
      </c>
      <c r="C91" s="53">
        <f t="shared" ref="C91:C129" si="37">B29</f>
        <v>300000</v>
      </c>
      <c r="D91" s="53">
        <f>+IF(C91&gt;0,1,0)</f>
        <v>1</v>
      </c>
    </row>
    <row r="92" spans="1:5" ht="12" hidden="1" customHeight="1" x14ac:dyDescent="0.2">
      <c r="A92" s="53">
        <f>+(C92*B$75+IF(C92&gt;A$75,C92-A$75,0)*(B$76-B$75)+IF(C92&gt;A$76,C92-A$76,0)*(B$77-B$76)+IF(C92&gt;A$77,C92-A$77,0)*(B$78-B$77)+IF(C92&gt;A$78,C92-A$78,0)*(B$79-B$78))*IF(C92&lt;B$82,0,1)</f>
        <v>18000</v>
      </c>
      <c r="B92" s="53">
        <f>IF(Legislation!D$51&gt;Legislation!B$51*'Incorporation costs'!B30,Legislation!D$51,Legislation!B$51*'Incorporation costs'!B30)-IF(B30=0,Legislation!D$51,0)</f>
        <v>500</v>
      </c>
      <c r="C92" s="53">
        <f t="shared" si="37"/>
        <v>350000</v>
      </c>
      <c r="D92" s="53">
        <f t="shared" ref="D92:D129" si="38">+IF(C92&gt;0,1,0)</f>
        <v>1</v>
      </c>
    </row>
    <row r="93" spans="1:5" ht="12" hidden="1" customHeight="1" x14ac:dyDescent="0.2">
      <c r="A93" s="53">
        <f t="shared" ref="A93:A129" si="39">+(C93*B$75+IF(C93&gt;A$75,C93-A$75,0)*(B$76-B$75)+IF(C93&gt;A$76,C93-A$76,0)*(B$77-B$76)+IF(C93&gt;A$77,C93-A$77,0)*(B$78-B$77)+IF(C93&gt;A$78,C93-A$78,0)*(B$79-B$78))*IF(C93&lt;B$82,0,1)</f>
        <v>22000</v>
      </c>
      <c r="B93" s="53">
        <f>IF(Legislation!D$51&gt;Legislation!B$51*'Incorporation costs'!B31,Legislation!D$51,Legislation!B$51*'Incorporation costs'!B31)-IF(B31=0,Legislation!D$51,0)</f>
        <v>500</v>
      </c>
      <c r="C93" s="53">
        <f t="shared" si="37"/>
        <v>400000</v>
      </c>
      <c r="D93" s="53">
        <f t="shared" si="38"/>
        <v>1</v>
      </c>
    </row>
    <row r="94" spans="1:5" ht="12" hidden="1" customHeight="1" x14ac:dyDescent="0.2">
      <c r="A94" s="53">
        <f t="shared" si="39"/>
        <v>26000</v>
      </c>
      <c r="B94" s="53">
        <f>IF(Legislation!D$51&gt;Legislation!B$51*'Incorporation costs'!B32,Legislation!D$51,Legislation!B$51*'Incorporation costs'!B32)-IF(B32=0,Legislation!D$51,0)</f>
        <v>500</v>
      </c>
      <c r="C94" s="53">
        <f t="shared" si="37"/>
        <v>450000</v>
      </c>
      <c r="D94" s="53">
        <f t="shared" si="38"/>
        <v>1</v>
      </c>
    </row>
    <row r="95" spans="1:5" ht="12" hidden="1" customHeight="1" x14ac:dyDescent="0.2">
      <c r="A95" s="53">
        <f t="shared" si="39"/>
        <v>30000</v>
      </c>
      <c r="B95" s="53">
        <f>IF(Legislation!D$51&gt;Legislation!B$51*'Incorporation costs'!B33,Legislation!D$51,Legislation!B$51*'Incorporation costs'!B33)-IF(B33=0,Legislation!D$51,0)</f>
        <v>500</v>
      </c>
      <c r="C95" s="53">
        <f t="shared" si="37"/>
        <v>500000</v>
      </c>
      <c r="D95" s="53">
        <f t="shared" si="38"/>
        <v>1</v>
      </c>
    </row>
    <row r="96" spans="1:5" ht="12" hidden="1" customHeight="1" x14ac:dyDescent="0.2">
      <c r="A96" s="53">
        <f t="shared" si="39"/>
        <v>34000</v>
      </c>
      <c r="B96" s="53">
        <f>IF(Legislation!D$51&gt;Legislation!B$51*'Incorporation costs'!B34,Legislation!D$51,Legislation!B$51*'Incorporation costs'!B34)-IF(B34=0,Legislation!D$51,0)</f>
        <v>550</v>
      </c>
      <c r="C96" s="53">
        <f t="shared" si="37"/>
        <v>550000</v>
      </c>
      <c r="D96" s="53">
        <f t="shared" si="38"/>
        <v>1</v>
      </c>
    </row>
    <row r="97" spans="1:4" ht="12" hidden="1" customHeight="1" x14ac:dyDescent="0.2">
      <c r="A97" s="53">
        <f t="shared" si="39"/>
        <v>38000</v>
      </c>
      <c r="B97" s="53">
        <f>IF(Legislation!D$51&gt;Legislation!B$51*'Incorporation costs'!B35,Legislation!D$51,Legislation!B$51*'Incorporation costs'!B35)-IF(B35=0,Legislation!D$51,0)</f>
        <v>600</v>
      </c>
      <c r="C97" s="53">
        <f t="shared" si="37"/>
        <v>600000</v>
      </c>
      <c r="D97" s="53">
        <f t="shared" si="38"/>
        <v>1</v>
      </c>
    </row>
    <row r="98" spans="1:4" ht="12" hidden="1" customHeight="1" x14ac:dyDescent="0.2">
      <c r="A98" s="53">
        <f t="shared" si="39"/>
        <v>42000</v>
      </c>
      <c r="B98" s="53">
        <f>IF(Legislation!D$51&gt;Legislation!B$51*'Incorporation costs'!B36,Legislation!D$51,Legislation!B$51*'Incorporation costs'!B36)-IF(B36=0,Legislation!D$51,0)</f>
        <v>650</v>
      </c>
      <c r="C98" s="53">
        <f t="shared" si="37"/>
        <v>650000</v>
      </c>
      <c r="D98" s="53">
        <f t="shared" si="38"/>
        <v>1</v>
      </c>
    </row>
    <row r="99" spans="1:4" ht="12" hidden="1" customHeight="1" x14ac:dyDescent="0.2">
      <c r="A99" s="53">
        <f t="shared" si="39"/>
        <v>46000</v>
      </c>
      <c r="B99" s="53">
        <f>IF(Legislation!D$51&gt;Legislation!B$51*'Incorporation costs'!B37,Legislation!D$51,Legislation!B$51*'Incorporation costs'!B37)-IF(B37=0,Legislation!D$51,0)</f>
        <v>700</v>
      </c>
      <c r="C99" s="53">
        <f t="shared" si="37"/>
        <v>700000</v>
      </c>
      <c r="D99" s="53">
        <f t="shared" si="38"/>
        <v>1</v>
      </c>
    </row>
    <row r="100" spans="1:4" ht="12" hidden="1" customHeight="1" x14ac:dyDescent="0.2">
      <c r="A100" s="53">
        <f t="shared" si="39"/>
        <v>50000</v>
      </c>
      <c r="B100" s="53">
        <f>IF(Legislation!D$51&gt;Legislation!B$51*'Incorporation costs'!B38,Legislation!D$51,Legislation!B$51*'Incorporation costs'!B38)-IF(B38=0,Legislation!D$51,0)</f>
        <v>750</v>
      </c>
      <c r="C100" s="53">
        <f t="shared" si="37"/>
        <v>750000</v>
      </c>
      <c r="D100" s="53">
        <f t="shared" si="38"/>
        <v>1</v>
      </c>
    </row>
    <row r="101" spans="1:4" ht="12" hidden="1" customHeight="1" x14ac:dyDescent="0.2">
      <c r="A101" s="53">
        <f t="shared" si="39"/>
        <v>0</v>
      </c>
      <c r="B101" s="53">
        <f>IF(Legislation!D$51&gt;Legislation!B$51*'Incorporation costs'!B39,Legislation!D$51,Legislation!B$51*'Incorporation costs'!B39)-IF(B39=0,Legislation!D$51,0)</f>
        <v>0</v>
      </c>
      <c r="C101" s="53">
        <f t="shared" si="37"/>
        <v>0</v>
      </c>
      <c r="D101" s="53">
        <f t="shared" si="38"/>
        <v>0</v>
      </c>
    </row>
    <row r="102" spans="1:4" ht="12" hidden="1" customHeight="1" x14ac:dyDescent="0.2">
      <c r="A102" s="53">
        <f t="shared" si="39"/>
        <v>0</v>
      </c>
      <c r="B102" s="53">
        <f>IF(Legislation!D$51&gt;Legislation!B$51*'Incorporation costs'!B40,Legislation!D$51,Legislation!B$51*'Incorporation costs'!B40)-IF(B40=0,Legislation!D$51,0)</f>
        <v>0</v>
      </c>
      <c r="C102" s="53">
        <f t="shared" si="37"/>
        <v>0</v>
      </c>
      <c r="D102" s="53">
        <f t="shared" si="38"/>
        <v>0</v>
      </c>
    </row>
    <row r="103" spans="1:4" ht="12" hidden="1" customHeight="1" x14ac:dyDescent="0.2">
      <c r="A103" s="53">
        <f t="shared" si="39"/>
        <v>0</v>
      </c>
      <c r="B103" s="53">
        <f>IF(Legislation!D$51&gt;Legislation!B$51*'Incorporation costs'!B41,Legislation!D$51,Legislation!B$51*'Incorporation costs'!B41)-IF(B41=0,Legislation!D$51,0)</f>
        <v>0</v>
      </c>
      <c r="C103" s="53">
        <f t="shared" si="37"/>
        <v>0</v>
      </c>
      <c r="D103" s="53">
        <f t="shared" si="38"/>
        <v>0</v>
      </c>
    </row>
    <row r="104" spans="1:4" ht="12" hidden="1" customHeight="1" x14ac:dyDescent="0.2">
      <c r="A104" s="53">
        <f t="shared" si="39"/>
        <v>0</v>
      </c>
      <c r="B104" s="53">
        <f>IF(Legislation!D$51&gt;Legislation!B$51*'Incorporation costs'!B42,Legislation!D$51,Legislation!B$51*'Incorporation costs'!B42)-IF(B42=0,Legislation!D$51,0)</f>
        <v>0</v>
      </c>
      <c r="C104" s="53">
        <f t="shared" si="37"/>
        <v>0</v>
      </c>
      <c r="D104" s="53">
        <f t="shared" si="38"/>
        <v>0</v>
      </c>
    </row>
    <row r="105" spans="1:4" ht="12" hidden="1" customHeight="1" x14ac:dyDescent="0.2">
      <c r="A105" s="53">
        <f t="shared" si="39"/>
        <v>0</v>
      </c>
      <c r="B105" s="53">
        <f>IF(Legislation!D$51&gt;Legislation!B$51*'Incorporation costs'!B43,Legislation!D$51,Legislation!B$51*'Incorporation costs'!B43)-IF(B43=0,Legislation!D$51,0)</f>
        <v>0</v>
      </c>
      <c r="C105" s="53">
        <f t="shared" si="37"/>
        <v>0</v>
      </c>
      <c r="D105" s="53">
        <f t="shared" si="38"/>
        <v>0</v>
      </c>
    </row>
    <row r="106" spans="1:4" ht="12" hidden="1" customHeight="1" x14ac:dyDescent="0.2">
      <c r="A106" s="53">
        <f t="shared" si="39"/>
        <v>0</v>
      </c>
      <c r="B106" s="53">
        <f>IF(Legislation!D$51&gt;Legislation!B$51*'Incorporation costs'!B44,Legislation!D$51,Legislation!B$51*'Incorporation costs'!B44)-IF(B44=0,Legislation!D$51,0)</f>
        <v>0</v>
      </c>
      <c r="C106" s="53">
        <f t="shared" si="37"/>
        <v>0</v>
      </c>
      <c r="D106" s="53">
        <f t="shared" si="38"/>
        <v>0</v>
      </c>
    </row>
    <row r="107" spans="1:4" ht="12" hidden="1" customHeight="1" x14ac:dyDescent="0.2">
      <c r="A107" s="53">
        <f t="shared" si="39"/>
        <v>0</v>
      </c>
      <c r="B107" s="53">
        <f>IF(Legislation!D$51&gt;Legislation!B$51*'Incorporation costs'!B45,Legislation!D$51,Legislation!B$51*'Incorporation costs'!B45)-IF(B45=0,Legislation!D$51,0)</f>
        <v>0</v>
      </c>
      <c r="C107" s="53">
        <f t="shared" si="37"/>
        <v>0</v>
      </c>
      <c r="D107" s="53">
        <f t="shared" si="38"/>
        <v>0</v>
      </c>
    </row>
    <row r="108" spans="1:4" ht="12" hidden="1" customHeight="1" x14ac:dyDescent="0.2">
      <c r="A108" s="53">
        <f t="shared" si="39"/>
        <v>0</v>
      </c>
      <c r="B108" s="53">
        <f>IF(Legislation!D$51&gt;Legislation!B$51*'Incorporation costs'!B46,Legislation!D$51,Legislation!B$51*'Incorporation costs'!B46)-IF(B46=0,Legislation!D$51,0)</f>
        <v>0</v>
      </c>
      <c r="C108" s="53">
        <f t="shared" si="37"/>
        <v>0</v>
      </c>
      <c r="D108" s="53">
        <f t="shared" si="38"/>
        <v>0</v>
      </c>
    </row>
    <row r="109" spans="1:4" ht="12" hidden="1" customHeight="1" x14ac:dyDescent="0.2">
      <c r="A109" s="53">
        <f t="shared" si="39"/>
        <v>0</v>
      </c>
      <c r="B109" s="53">
        <f>IF(Legislation!D$51&gt;Legislation!B$51*'Incorporation costs'!B47,Legislation!D$51,Legislation!B$51*'Incorporation costs'!B47)-IF(B47=0,Legislation!D$51,0)</f>
        <v>0</v>
      </c>
      <c r="C109" s="53">
        <f t="shared" si="37"/>
        <v>0</v>
      </c>
      <c r="D109" s="53">
        <f t="shared" si="38"/>
        <v>0</v>
      </c>
    </row>
    <row r="110" spans="1:4" ht="12" hidden="1" customHeight="1" x14ac:dyDescent="0.2">
      <c r="A110" s="53">
        <f t="shared" si="39"/>
        <v>0</v>
      </c>
      <c r="B110" s="53">
        <f>IF(Legislation!D$51&gt;Legislation!B$51*'Incorporation costs'!B48,Legislation!D$51,Legislation!B$51*'Incorporation costs'!B48)-IF(B48=0,Legislation!D$51,0)</f>
        <v>0</v>
      </c>
      <c r="C110" s="53">
        <f t="shared" si="37"/>
        <v>0</v>
      </c>
      <c r="D110" s="53">
        <f t="shared" si="38"/>
        <v>0</v>
      </c>
    </row>
    <row r="111" spans="1:4" ht="12" hidden="1" customHeight="1" x14ac:dyDescent="0.2">
      <c r="A111" s="53">
        <f t="shared" si="39"/>
        <v>0</v>
      </c>
      <c r="B111" s="53">
        <f>IF(Legislation!D$51&gt;Legislation!B$51*'Incorporation costs'!B49,Legislation!D$51,Legislation!B$51*'Incorporation costs'!B49)-IF(B49=0,Legislation!D$51,0)</f>
        <v>0</v>
      </c>
      <c r="C111" s="53">
        <f t="shared" si="37"/>
        <v>0</v>
      </c>
      <c r="D111" s="53">
        <f t="shared" si="38"/>
        <v>0</v>
      </c>
    </row>
    <row r="112" spans="1:4" ht="12" hidden="1" customHeight="1" x14ac:dyDescent="0.2">
      <c r="A112" s="53">
        <f t="shared" si="39"/>
        <v>0</v>
      </c>
      <c r="B112" s="53">
        <f>IF(Legislation!D$51&gt;Legislation!B$51*'Incorporation costs'!B50,Legislation!D$51,Legislation!B$51*'Incorporation costs'!B50)-IF(B50=0,Legislation!D$51,0)</f>
        <v>0</v>
      </c>
      <c r="C112" s="53">
        <f t="shared" si="37"/>
        <v>0</v>
      </c>
      <c r="D112" s="53">
        <f t="shared" si="38"/>
        <v>0</v>
      </c>
    </row>
    <row r="113" spans="1:4" ht="12" hidden="1" customHeight="1" x14ac:dyDescent="0.2">
      <c r="A113" s="53">
        <f t="shared" si="39"/>
        <v>0</v>
      </c>
      <c r="B113" s="53">
        <f>IF(Legislation!D$51&gt;Legislation!B$51*'Incorporation costs'!B51,Legislation!D$51,Legislation!B$51*'Incorporation costs'!B51)-IF(B51=0,Legislation!D$51,0)</f>
        <v>0</v>
      </c>
      <c r="C113" s="53">
        <f t="shared" si="37"/>
        <v>0</v>
      </c>
      <c r="D113" s="53">
        <f t="shared" si="38"/>
        <v>0</v>
      </c>
    </row>
    <row r="114" spans="1:4" ht="12" hidden="1" customHeight="1" x14ac:dyDescent="0.2">
      <c r="A114" s="53">
        <f t="shared" si="39"/>
        <v>0</v>
      </c>
      <c r="B114" s="53">
        <f>IF(Legislation!D$51&gt;Legislation!B$51*'Incorporation costs'!B52,Legislation!D$51,Legislation!B$51*'Incorporation costs'!B52)-IF(B52=0,Legislation!D$51,0)</f>
        <v>0</v>
      </c>
      <c r="C114" s="53">
        <f t="shared" si="37"/>
        <v>0</v>
      </c>
      <c r="D114" s="53">
        <f t="shared" si="38"/>
        <v>0</v>
      </c>
    </row>
    <row r="115" spans="1:4" ht="12" hidden="1" customHeight="1" x14ac:dyDescent="0.2">
      <c r="A115" s="53">
        <f t="shared" si="39"/>
        <v>0</v>
      </c>
      <c r="B115" s="53">
        <f>IF(Legislation!D$51&gt;Legislation!B$51*'Incorporation costs'!B53,Legislation!D$51,Legislation!B$51*'Incorporation costs'!B53)-IF(B53=0,Legislation!D$51,0)</f>
        <v>0</v>
      </c>
      <c r="C115" s="53">
        <f t="shared" si="37"/>
        <v>0</v>
      </c>
      <c r="D115" s="53">
        <f t="shared" si="38"/>
        <v>0</v>
      </c>
    </row>
    <row r="116" spans="1:4" ht="12" hidden="1" customHeight="1" x14ac:dyDescent="0.2">
      <c r="A116" s="53">
        <f t="shared" si="39"/>
        <v>0</v>
      </c>
      <c r="B116" s="53">
        <f>IF(Legislation!D$51&gt;Legislation!B$51*'Incorporation costs'!B54,Legislation!D$51,Legislation!B$51*'Incorporation costs'!B54)-IF(B54=0,Legislation!D$51,0)</f>
        <v>0</v>
      </c>
      <c r="C116" s="53">
        <f t="shared" si="37"/>
        <v>0</v>
      </c>
      <c r="D116" s="53">
        <f t="shared" si="38"/>
        <v>0</v>
      </c>
    </row>
    <row r="117" spans="1:4" ht="12" hidden="1" customHeight="1" x14ac:dyDescent="0.2">
      <c r="A117" s="53">
        <f t="shared" si="39"/>
        <v>0</v>
      </c>
      <c r="B117" s="53">
        <f>IF(Legislation!D$51&gt;Legislation!B$51*'Incorporation costs'!B55,Legislation!D$51,Legislation!B$51*'Incorporation costs'!B55)-IF(B55=0,Legislation!D$51,0)</f>
        <v>0</v>
      </c>
      <c r="C117" s="53">
        <f t="shared" si="37"/>
        <v>0</v>
      </c>
      <c r="D117" s="53">
        <f t="shared" si="38"/>
        <v>0</v>
      </c>
    </row>
    <row r="118" spans="1:4" ht="12" hidden="1" customHeight="1" x14ac:dyDescent="0.2">
      <c r="A118" s="53">
        <f t="shared" si="39"/>
        <v>0</v>
      </c>
      <c r="B118" s="53">
        <f>IF(Legislation!D$51&gt;Legislation!B$51*'Incorporation costs'!B56,Legislation!D$51,Legislation!B$51*'Incorporation costs'!B56)-IF(B56=0,Legislation!D$51,0)</f>
        <v>0</v>
      </c>
      <c r="C118" s="53">
        <f t="shared" si="37"/>
        <v>0</v>
      </c>
      <c r="D118" s="53">
        <f t="shared" si="38"/>
        <v>0</v>
      </c>
    </row>
    <row r="119" spans="1:4" ht="12" hidden="1" customHeight="1" x14ac:dyDescent="0.2">
      <c r="A119" s="53">
        <f t="shared" si="39"/>
        <v>0</v>
      </c>
      <c r="B119" s="53">
        <f>IF(Legislation!D$51&gt;Legislation!B$51*'Incorporation costs'!B57,Legislation!D$51,Legislation!B$51*'Incorporation costs'!B57)-IF(B57=0,Legislation!D$51,0)</f>
        <v>0</v>
      </c>
      <c r="C119" s="53">
        <f t="shared" si="37"/>
        <v>0</v>
      </c>
      <c r="D119" s="53">
        <f t="shared" si="38"/>
        <v>0</v>
      </c>
    </row>
    <row r="120" spans="1:4" ht="12" hidden="1" customHeight="1" x14ac:dyDescent="0.2">
      <c r="A120" s="53">
        <f t="shared" si="39"/>
        <v>0</v>
      </c>
      <c r="B120" s="53">
        <f>IF(Legislation!D$51&gt;Legislation!B$51*'Incorporation costs'!B58,Legislation!D$51,Legislation!B$51*'Incorporation costs'!B58)-IF(B58=0,Legislation!D$51,0)</f>
        <v>0</v>
      </c>
      <c r="C120" s="53">
        <f t="shared" si="37"/>
        <v>0</v>
      </c>
      <c r="D120" s="53">
        <f t="shared" si="38"/>
        <v>0</v>
      </c>
    </row>
    <row r="121" spans="1:4" ht="12" hidden="1" customHeight="1" x14ac:dyDescent="0.2">
      <c r="A121" s="53">
        <f t="shared" si="39"/>
        <v>0</v>
      </c>
      <c r="B121" s="53">
        <f>IF(Legislation!D$51&gt;Legislation!B$51*'Incorporation costs'!B59,Legislation!D$51,Legislation!B$51*'Incorporation costs'!B59)-IF(B59=0,Legislation!D$51,0)</f>
        <v>0</v>
      </c>
      <c r="C121" s="53">
        <f t="shared" si="37"/>
        <v>0</v>
      </c>
      <c r="D121" s="53">
        <f t="shared" si="38"/>
        <v>0</v>
      </c>
    </row>
    <row r="122" spans="1:4" ht="12" hidden="1" customHeight="1" x14ac:dyDescent="0.2">
      <c r="A122" s="53">
        <f t="shared" si="39"/>
        <v>0</v>
      </c>
      <c r="B122" s="53">
        <f>IF(Legislation!D$51&gt;Legislation!B$51*'Incorporation costs'!B60,Legislation!D$51,Legislation!B$51*'Incorporation costs'!B60)-IF(B60=0,Legislation!D$51,0)</f>
        <v>0</v>
      </c>
      <c r="C122" s="53">
        <f t="shared" si="37"/>
        <v>0</v>
      </c>
      <c r="D122" s="53">
        <f t="shared" si="38"/>
        <v>0</v>
      </c>
    </row>
    <row r="123" spans="1:4" ht="12" hidden="1" customHeight="1" x14ac:dyDescent="0.2">
      <c r="A123" s="53">
        <f t="shared" si="39"/>
        <v>0</v>
      </c>
      <c r="B123" s="53">
        <f>IF(Legislation!D$51&gt;Legislation!B$51*'Incorporation costs'!B61,Legislation!D$51,Legislation!B$51*'Incorporation costs'!B61)-IF(B61=0,Legislation!D$51,0)</f>
        <v>0</v>
      </c>
      <c r="C123" s="53">
        <f t="shared" si="37"/>
        <v>0</v>
      </c>
      <c r="D123" s="53">
        <f t="shared" si="38"/>
        <v>0</v>
      </c>
    </row>
    <row r="124" spans="1:4" ht="12" hidden="1" customHeight="1" x14ac:dyDescent="0.2">
      <c r="A124" s="53">
        <f t="shared" si="39"/>
        <v>0</v>
      </c>
      <c r="B124" s="53">
        <f>IF(Legislation!D$51&gt;Legislation!B$51*'Incorporation costs'!B62,Legislation!D$51,Legislation!B$51*'Incorporation costs'!B62)-IF(B62=0,Legislation!D$51,0)</f>
        <v>0</v>
      </c>
      <c r="C124" s="53">
        <f t="shared" si="37"/>
        <v>0</v>
      </c>
      <c r="D124" s="53">
        <f t="shared" si="38"/>
        <v>0</v>
      </c>
    </row>
    <row r="125" spans="1:4" ht="12" hidden="1" customHeight="1" x14ac:dyDescent="0.2">
      <c r="A125" s="53">
        <f t="shared" si="39"/>
        <v>0</v>
      </c>
      <c r="B125" s="53">
        <f>IF(Legislation!D$51&gt;Legislation!B$51*'Incorporation costs'!B63,Legislation!D$51,Legislation!B$51*'Incorporation costs'!B63)-IF(B63=0,Legislation!D$51,0)</f>
        <v>0</v>
      </c>
      <c r="C125" s="53">
        <f t="shared" si="37"/>
        <v>0</v>
      </c>
      <c r="D125" s="53">
        <f t="shared" si="38"/>
        <v>0</v>
      </c>
    </row>
    <row r="126" spans="1:4" ht="12" hidden="1" customHeight="1" x14ac:dyDescent="0.2">
      <c r="A126" s="53">
        <f t="shared" si="39"/>
        <v>0</v>
      </c>
      <c r="B126" s="53">
        <f>IF(Legislation!D$51&gt;Legislation!B$51*'Incorporation costs'!B64,Legislation!D$51,Legislation!B$51*'Incorporation costs'!B64)-IF(B64=0,Legislation!D$51,0)</f>
        <v>0</v>
      </c>
      <c r="C126" s="53">
        <f t="shared" si="37"/>
        <v>0</v>
      </c>
      <c r="D126" s="53">
        <f t="shared" si="38"/>
        <v>0</v>
      </c>
    </row>
    <row r="127" spans="1:4" ht="12" hidden="1" customHeight="1" x14ac:dyDescent="0.2">
      <c r="A127" s="53">
        <f t="shared" si="39"/>
        <v>0</v>
      </c>
      <c r="B127" s="53">
        <f>IF(Legislation!D$51&gt;Legislation!B$51*'Incorporation costs'!B65,Legislation!D$51,Legislation!B$51*'Incorporation costs'!B65)-IF(B65=0,Legislation!D$51,0)</f>
        <v>0</v>
      </c>
      <c r="C127" s="53">
        <f t="shared" si="37"/>
        <v>0</v>
      </c>
      <c r="D127" s="53">
        <f t="shared" si="38"/>
        <v>0</v>
      </c>
    </row>
    <row r="128" spans="1:4" ht="12" hidden="1" customHeight="1" x14ac:dyDescent="0.2">
      <c r="A128" s="53">
        <f t="shared" si="39"/>
        <v>0</v>
      </c>
      <c r="B128" s="53">
        <f>IF(Legislation!D$51&gt;Legislation!B$51*'Incorporation costs'!B66,Legislation!D$51,Legislation!B$51*'Incorporation costs'!B66)-IF(B66=0,Legislation!D$51,0)</f>
        <v>0</v>
      </c>
      <c r="C128" s="53">
        <f t="shared" si="37"/>
        <v>0</v>
      </c>
      <c r="D128" s="53">
        <f t="shared" si="38"/>
        <v>0</v>
      </c>
    </row>
    <row r="129" spans="1:5" ht="12" hidden="1" customHeight="1" x14ac:dyDescent="0.2">
      <c r="A129" s="53">
        <f t="shared" si="39"/>
        <v>0</v>
      </c>
      <c r="B129" s="53">
        <f>IF(Legislation!D$51&gt;Legislation!B$51*'Incorporation costs'!B67,Legislation!D$51,Legislation!B$51*'Incorporation costs'!B67)-IF(B67=0,Legislation!D$51,0)</f>
        <v>0</v>
      </c>
      <c r="C129" s="53">
        <f t="shared" si="37"/>
        <v>0</v>
      </c>
      <c r="D129" s="53">
        <f t="shared" si="38"/>
        <v>0</v>
      </c>
    </row>
    <row r="130" spans="1:5" ht="12" hidden="1" customHeight="1" x14ac:dyDescent="0.2">
      <c r="A130" s="53"/>
      <c r="B130" s="53"/>
      <c r="C130" s="53"/>
      <c r="D130" s="53"/>
    </row>
    <row r="131" spans="1:5" ht="12" hidden="1" customHeight="1" x14ac:dyDescent="0.2">
      <c r="A131" s="53"/>
      <c r="B131" s="53"/>
      <c r="C131" s="53"/>
      <c r="D131" s="53"/>
    </row>
    <row r="132" spans="1:5" ht="12" hidden="1" customHeight="1" x14ac:dyDescent="0.2">
      <c r="A132" s="53"/>
      <c r="B132" s="53"/>
      <c r="C132" s="53"/>
      <c r="D132" s="53"/>
    </row>
    <row r="133" spans="1:5" ht="12" hidden="1" customHeight="1" x14ac:dyDescent="0.2">
      <c r="A133" s="53">
        <f>SUM(A91:A132)</f>
        <v>320000</v>
      </c>
      <c r="B133" s="53">
        <f t="shared" ref="B133:D133" si="40">SUM(B91:B132)</f>
        <v>5750</v>
      </c>
      <c r="C133" s="53">
        <f t="shared" si="40"/>
        <v>5250000</v>
      </c>
      <c r="D133" s="53">
        <f t="shared" si="40"/>
        <v>10</v>
      </c>
      <c r="E133">
        <f t="shared" ref="E133" si="41">+(IF(C133&gt;A$85-0.0001,B$86,0)+IF(C133&gt;A$86-0.00001,B$87-B$86,0)+IF(C133&gt;A$87,B$88-B$87,0))*C133</f>
        <v>210000</v>
      </c>
    </row>
    <row r="134" spans="1:5" ht="12" hidden="1" customHeight="1" x14ac:dyDescent="0.2">
      <c r="A134" s="53">
        <f t="shared" ref="A134" si="42">+(C134*B$75+IF(C134&gt;A$75,C134-A$75,0)*(B$76-B$75)+IF(C134&gt;A$76,C134-A$76,0)*(B$77-B$76)+IF(C134&gt;A$77,C134-A$77,0)*(B$78-B$77)+IF(C134&gt;A$78,C134-A$78,0)*(B$79-B$78))*IF(C134&lt;B$82,0,1)</f>
        <v>32000</v>
      </c>
      <c r="C134" s="53">
        <f>C133/D133</f>
        <v>525000</v>
      </c>
      <c r="D134" s="53"/>
      <c r="E134">
        <f>+E133</f>
        <v>210000</v>
      </c>
    </row>
    <row r="135" spans="1:5" ht="12" hidden="1" customHeight="1" x14ac:dyDescent="0.2">
      <c r="A135" s="53">
        <f>A134*D133</f>
        <v>320000</v>
      </c>
      <c r="B135" s="53"/>
      <c r="C135" s="53"/>
      <c r="D135" s="53"/>
    </row>
    <row r="136" spans="1:5" ht="12" hidden="1" customHeight="1" x14ac:dyDescent="0.2">
      <c r="A136" s="53">
        <f>C133*B80</f>
        <v>52500</v>
      </c>
      <c r="B136" s="53"/>
      <c r="C136" s="53"/>
      <c r="D136" s="53"/>
    </row>
    <row r="137" spans="1:5" ht="12" hidden="1" customHeight="1" x14ac:dyDescent="0.2">
      <c r="A137" s="16" t="s">
        <v>188</v>
      </c>
      <c r="B137" s="23">
        <f>MAX(A135:A136)</f>
        <v>320000</v>
      </c>
      <c r="C137" s="16">
        <f>D133*E134</f>
        <v>2100000</v>
      </c>
      <c r="D137" s="16"/>
    </row>
    <row r="138" spans="1:5" ht="12" hidden="1" customHeight="1" x14ac:dyDescent="0.2">
      <c r="A138" s="16"/>
      <c r="B138" s="16"/>
      <c r="C138" s="16"/>
      <c r="D138" s="117" t="s">
        <v>191</v>
      </c>
      <c r="E138" s="118" t="s">
        <v>196</v>
      </c>
    </row>
    <row r="139" spans="1:5" ht="12" hidden="1" customHeight="1" x14ac:dyDescent="0.2">
      <c r="A139" s="7" t="s">
        <v>189</v>
      </c>
      <c r="D139" s="116">
        <f>SUM(C$29:C$67)</f>
        <v>320000</v>
      </c>
      <c r="E139" s="16">
        <f>E133</f>
        <v>210000</v>
      </c>
    </row>
    <row r="140" spans="1:5" ht="12" hidden="1" customHeight="1" x14ac:dyDescent="0.2">
      <c r="A140" s="7" t="s">
        <v>190</v>
      </c>
      <c r="D140" s="115">
        <f>+IF(D133*A134&gt;A136,D133*A134,A136)</f>
        <v>320000</v>
      </c>
      <c r="E140">
        <f>E133</f>
        <v>210000</v>
      </c>
    </row>
    <row r="141" spans="1:5" ht="12" hidden="1" customHeight="1" x14ac:dyDescent="0.2">
      <c r="A141" s="7" t="s">
        <v>197</v>
      </c>
      <c r="D141" s="22">
        <f>MIN(D139:D140)</f>
        <v>320000</v>
      </c>
      <c r="E141" s="16">
        <f>MIN(E139:E140)</f>
        <v>210000</v>
      </c>
    </row>
    <row r="142" spans="1:5" ht="12" hidden="1" customHeight="1" x14ac:dyDescent="0.2">
      <c r="A142" s="16"/>
      <c r="B142" s="16"/>
      <c r="C142" s="16"/>
      <c r="D142" s="16">
        <f>E139</f>
        <v>210000</v>
      </c>
    </row>
    <row r="143" spans="1:5" hidden="1" x14ac:dyDescent="0.2">
      <c r="A143" s="16"/>
      <c r="B143" s="16"/>
      <c r="C143" s="16"/>
      <c r="D143" s="16">
        <f>MIN(D139:D142)</f>
        <v>210000</v>
      </c>
    </row>
    <row r="144" spans="1:5" x14ac:dyDescent="0.2">
      <c r="A144" s="16"/>
      <c r="B144" s="16"/>
      <c r="C144" s="16"/>
      <c r="D144" s="16"/>
    </row>
    <row r="145" spans="1:4" x14ac:dyDescent="0.2">
      <c r="A145" s="16"/>
      <c r="B145" s="16"/>
      <c r="C145" s="16"/>
      <c r="D145" s="16"/>
    </row>
    <row r="146" spans="1:4" x14ac:dyDescent="0.2">
      <c r="A146" s="16"/>
      <c r="B146" s="16"/>
      <c r="C146" s="16"/>
      <c r="D146" s="16"/>
    </row>
    <row r="147" spans="1:4" x14ac:dyDescent="0.2">
      <c r="A147" s="16"/>
      <c r="B147" s="16"/>
      <c r="C147" s="16"/>
      <c r="D147" s="16"/>
    </row>
    <row r="148" spans="1:4" x14ac:dyDescent="0.2">
      <c r="A148" s="16"/>
      <c r="B148" s="16"/>
      <c r="C148" s="16"/>
      <c r="D148" s="16"/>
    </row>
    <row r="149" spans="1:4" x14ac:dyDescent="0.2">
      <c r="B149" s="16"/>
      <c r="C149" s="16"/>
      <c r="D149" s="16"/>
    </row>
    <row r="150" spans="1:4" x14ac:dyDescent="0.2">
      <c r="B150" s="16"/>
      <c r="C150" s="16"/>
      <c r="D150" s="16"/>
    </row>
    <row r="151" spans="1:4" x14ac:dyDescent="0.2">
      <c r="B151" s="16"/>
      <c r="C151" s="16"/>
      <c r="D151" s="16"/>
    </row>
    <row r="152" spans="1:4" x14ac:dyDescent="0.2">
      <c r="B152" s="16"/>
      <c r="C152" s="16"/>
      <c r="D152" s="16"/>
    </row>
    <row r="153" spans="1:4" x14ac:dyDescent="0.2">
      <c r="B153" s="16"/>
      <c r="C153" s="16"/>
      <c r="D153" s="16"/>
    </row>
    <row r="154" spans="1:4" x14ac:dyDescent="0.2">
      <c r="B154" s="16"/>
      <c r="C154" s="16"/>
      <c r="D154" s="16"/>
    </row>
    <row r="155" spans="1:4" x14ac:dyDescent="0.2">
      <c r="B155" s="16"/>
      <c r="C155" s="16"/>
      <c r="D155" s="16"/>
    </row>
    <row r="156" spans="1:4" x14ac:dyDescent="0.2">
      <c r="B156" s="16"/>
      <c r="C156" s="16"/>
      <c r="D156" s="16"/>
    </row>
    <row r="157" spans="1:4" x14ac:dyDescent="0.2">
      <c r="B157" s="16"/>
      <c r="C157" s="16"/>
      <c r="D157" s="16"/>
    </row>
    <row r="158" spans="1:4" x14ac:dyDescent="0.2">
      <c r="B158" s="16"/>
      <c r="C158" s="16"/>
      <c r="D158" s="16"/>
    </row>
    <row r="159" spans="1:4" x14ac:dyDescent="0.2">
      <c r="B159" s="16"/>
      <c r="C159" s="16"/>
      <c r="D159" s="16"/>
    </row>
    <row r="160" spans="1:4" x14ac:dyDescent="0.2">
      <c r="B160" s="16"/>
      <c r="C160" s="16"/>
      <c r="D160" s="16"/>
    </row>
    <row r="161" spans="2:4" x14ac:dyDescent="0.2">
      <c r="B161" s="16"/>
      <c r="C161" s="16"/>
      <c r="D161" s="16"/>
    </row>
    <row r="162" spans="2:4" x14ac:dyDescent="0.2">
      <c r="B162" s="16"/>
      <c r="C162" s="16"/>
      <c r="D162" s="16"/>
    </row>
    <row r="163" spans="2:4" x14ac:dyDescent="0.2">
      <c r="B163" s="16"/>
      <c r="C163" s="16"/>
      <c r="D163" s="16"/>
    </row>
    <row r="164" spans="2:4" x14ac:dyDescent="0.2">
      <c r="B164" s="16"/>
      <c r="C164" s="16"/>
      <c r="D164" s="16"/>
    </row>
    <row r="165" spans="2:4" x14ac:dyDescent="0.2">
      <c r="B165" s="16"/>
      <c r="C165" s="16"/>
      <c r="D165" s="16"/>
    </row>
    <row r="166" spans="2:4" x14ac:dyDescent="0.2">
      <c r="B166" s="16"/>
      <c r="C166" s="16"/>
      <c r="D166" s="16"/>
    </row>
    <row r="167" spans="2:4" x14ac:dyDescent="0.2">
      <c r="B167" s="16"/>
      <c r="C167" s="16"/>
      <c r="D167" s="16"/>
    </row>
    <row r="168" spans="2:4" x14ac:dyDescent="0.2">
      <c r="B168" s="16"/>
      <c r="C168" s="16"/>
      <c r="D168" s="16"/>
    </row>
    <row r="169" spans="2:4" x14ac:dyDescent="0.2">
      <c r="B169" s="16"/>
      <c r="C169" s="16"/>
      <c r="D169" s="16"/>
    </row>
    <row r="170" spans="2:4" x14ac:dyDescent="0.2">
      <c r="B170" s="16"/>
      <c r="C170" s="16"/>
      <c r="D170" s="16"/>
    </row>
    <row r="171" spans="2:4" x14ac:dyDescent="0.2">
      <c r="B171" s="16"/>
      <c r="C171" s="16"/>
      <c r="D171" s="16"/>
    </row>
    <row r="172" spans="2:4" x14ac:dyDescent="0.2">
      <c r="B172" s="16"/>
      <c r="C172" s="16"/>
      <c r="D172" s="16"/>
    </row>
    <row r="173" spans="2:4" x14ac:dyDescent="0.2">
      <c r="B173" s="16"/>
      <c r="C173" s="16"/>
      <c r="D173" s="16"/>
    </row>
    <row r="174" spans="2:4" x14ac:dyDescent="0.2">
      <c r="B174" s="16"/>
      <c r="C174" s="16"/>
      <c r="D174" s="16"/>
    </row>
    <row r="175" spans="2:4" x14ac:dyDescent="0.2">
      <c r="B175" s="16"/>
      <c r="C175" s="16"/>
      <c r="D175" s="16"/>
    </row>
    <row r="176" spans="2:4" x14ac:dyDescent="0.2">
      <c r="B176" s="16"/>
      <c r="C176" s="16"/>
      <c r="D176" s="16"/>
    </row>
    <row r="177" spans="1:4" x14ac:dyDescent="0.2">
      <c r="B177" s="16"/>
      <c r="C177" s="16"/>
      <c r="D177" s="16"/>
    </row>
    <row r="178" spans="1:4" x14ac:dyDescent="0.2">
      <c r="B178" s="16"/>
      <c r="C178" s="16"/>
      <c r="D178" s="16"/>
    </row>
    <row r="179" spans="1:4" x14ac:dyDescent="0.2">
      <c r="B179" s="16"/>
      <c r="C179" s="16"/>
      <c r="D179" s="16"/>
    </row>
    <row r="180" spans="1:4" x14ac:dyDescent="0.2">
      <c r="B180" s="16"/>
      <c r="C180" s="16"/>
      <c r="D180" s="16"/>
    </row>
    <row r="181" spans="1:4" x14ac:dyDescent="0.2">
      <c r="B181" s="16"/>
      <c r="C181" s="16"/>
      <c r="D181" s="16"/>
    </row>
    <row r="182" spans="1:4" x14ac:dyDescent="0.2">
      <c r="B182" s="16"/>
      <c r="C182" s="16"/>
      <c r="D182" s="16"/>
    </row>
    <row r="183" spans="1:4" x14ac:dyDescent="0.2">
      <c r="B183" s="16"/>
      <c r="C183" s="16"/>
      <c r="D183" s="16"/>
    </row>
    <row r="184" spans="1:4" x14ac:dyDescent="0.2">
      <c r="B184" s="16"/>
      <c r="C184" s="16"/>
      <c r="D184" s="16"/>
    </row>
    <row r="185" spans="1:4" x14ac:dyDescent="0.2">
      <c r="B185" s="16"/>
      <c r="C185" s="16"/>
      <c r="D185" s="16"/>
    </row>
    <row r="186" spans="1:4" x14ac:dyDescent="0.2">
      <c r="A186" s="16"/>
      <c r="B186" s="16"/>
      <c r="C186" s="16"/>
      <c r="D186" s="16"/>
    </row>
    <row r="187" spans="1:4" x14ac:dyDescent="0.2">
      <c r="A187" s="16"/>
      <c r="B187" s="16"/>
      <c r="C187" s="16"/>
      <c r="D187" s="16"/>
    </row>
    <row r="188" spans="1:4" x14ac:dyDescent="0.2">
      <c r="B188" s="16"/>
      <c r="C188" s="16"/>
      <c r="D188" s="16"/>
    </row>
    <row r="189" spans="1:4" x14ac:dyDescent="0.2">
      <c r="B189" s="16"/>
      <c r="C189" s="16"/>
      <c r="D189" s="16"/>
    </row>
    <row r="190" spans="1:4" x14ac:dyDescent="0.2">
      <c r="B190" s="16"/>
      <c r="C190" s="16"/>
      <c r="D190" s="16"/>
    </row>
    <row r="191" spans="1:4" x14ac:dyDescent="0.2">
      <c r="B191" s="16"/>
      <c r="C191" s="16"/>
      <c r="D191" s="16"/>
    </row>
    <row r="192" spans="1:4" x14ac:dyDescent="0.2">
      <c r="B192" s="16"/>
      <c r="C192" s="16"/>
      <c r="D192" s="16"/>
    </row>
    <row r="193" spans="2:4" x14ac:dyDescent="0.2">
      <c r="B193" s="16"/>
      <c r="C193" s="16"/>
      <c r="D193" s="16"/>
    </row>
    <row r="194" spans="2:4" x14ac:dyDescent="0.2">
      <c r="B194" s="16"/>
      <c r="C194" s="16"/>
      <c r="D194" s="16"/>
    </row>
    <row r="195" spans="2:4" x14ac:dyDescent="0.2">
      <c r="B195" s="16"/>
      <c r="C195" s="16"/>
      <c r="D195" s="16"/>
    </row>
    <row r="196" spans="2:4" x14ac:dyDescent="0.2">
      <c r="B196" s="16"/>
      <c r="C196" s="16"/>
      <c r="D196" s="16"/>
    </row>
    <row r="197" spans="2:4" x14ac:dyDescent="0.2">
      <c r="B197" s="16"/>
      <c r="C197" s="16"/>
      <c r="D197" s="16"/>
    </row>
    <row r="198" spans="2:4" x14ac:dyDescent="0.2">
      <c r="B198" s="16"/>
      <c r="C198" s="16"/>
      <c r="D198" s="16"/>
    </row>
    <row r="199" spans="2:4" x14ac:dyDescent="0.2">
      <c r="B199" s="16"/>
      <c r="C199" s="16"/>
      <c r="D199" s="16"/>
    </row>
    <row r="200" spans="2:4" x14ac:dyDescent="0.2">
      <c r="B200" s="16"/>
      <c r="C200" s="16"/>
      <c r="D200" s="16"/>
    </row>
    <row r="201" spans="2:4" x14ac:dyDescent="0.2">
      <c r="B201" s="16"/>
      <c r="C201" s="16"/>
      <c r="D201" s="16"/>
    </row>
    <row r="202" spans="2:4" x14ac:dyDescent="0.2">
      <c r="B202" s="16"/>
      <c r="C202" s="16"/>
      <c r="D202" s="16"/>
    </row>
    <row r="203" spans="2:4" x14ac:dyDescent="0.2">
      <c r="B203" s="16"/>
      <c r="C203" s="16"/>
      <c r="D203" s="16"/>
    </row>
    <row r="204" spans="2:4" x14ac:dyDescent="0.2">
      <c r="B204" s="16"/>
      <c r="C204" s="16"/>
      <c r="D204" s="16"/>
    </row>
    <row r="205" spans="2:4" x14ac:dyDescent="0.2">
      <c r="B205" s="16"/>
      <c r="C205" s="16"/>
      <c r="D205" s="16"/>
    </row>
    <row r="206" spans="2:4" x14ac:dyDescent="0.2">
      <c r="B206" s="16"/>
      <c r="C206" s="16"/>
      <c r="D206" s="16"/>
    </row>
    <row r="207" spans="2:4" x14ac:dyDescent="0.2">
      <c r="B207" s="16"/>
      <c r="C207" s="16"/>
      <c r="D207" s="16"/>
    </row>
    <row r="208" spans="2:4" x14ac:dyDescent="0.2">
      <c r="B208" s="16"/>
      <c r="C208" s="16"/>
      <c r="D208" s="16"/>
    </row>
    <row r="209" spans="2:4" x14ac:dyDescent="0.2">
      <c r="B209" s="16"/>
      <c r="C209" s="16"/>
      <c r="D209" s="16"/>
    </row>
    <row r="210" spans="2:4" x14ac:dyDescent="0.2">
      <c r="B210" s="16"/>
      <c r="C210" s="16"/>
      <c r="D210" s="16"/>
    </row>
    <row r="211" spans="2:4" x14ac:dyDescent="0.2">
      <c r="B211" s="16"/>
      <c r="C211" s="16"/>
      <c r="D211" s="16"/>
    </row>
    <row r="212" spans="2:4" x14ac:dyDescent="0.2">
      <c r="B212" s="16"/>
      <c r="C212" s="16"/>
      <c r="D212" s="16"/>
    </row>
    <row r="213" spans="2:4" x14ac:dyDescent="0.2">
      <c r="B213" s="16"/>
      <c r="C213" s="16"/>
      <c r="D213" s="16"/>
    </row>
    <row r="214" spans="2:4" x14ac:dyDescent="0.2">
      <c r="B214" s="16"/>
      <c r="C214" s="16"/>
      <c r="D214" s="16"/>
    </row>
    <row r="215" spans="2:4" x14ac:dyDescent="0.2">
      <c r="B215" s="16"/>
      <c r="C215" s="16"/>
      <c r="D215" s="16"/>
    </row>
    <row r="216" spans="2:4" x14ac:dyDescent="0.2">
      <c r="B216" s="16"/>
      <c r="C216" s="16"/>
      <c r="D216" s="16"/>
    </row>
    <row r="217" spans="2:4" x14ac:dyDescent="0.2">
      <c r="B217" s="16"/>
      <c r="C217" s="16"/>
      <c r="D217" s="16"/>
    </row>
    <row r="218" spans="2:4" x14ac:dyDescent="0.2">
      <c r="B218" s="16"/>
      <c r="C218" s="16"/>
      <c r="D218" s="16"/>
    </row>
    <row r="219" spans="2:4" x14ac:dyDescent="0.2">
      <c r="B219" s="16"/>
      <c r="C219" s="16"/>
      <c r="D219" s="16"/>
    </row>
    <row r="220" spans="2:4" x14ac:dyDescent="0.2">
      <c r="B220" s="16"/>
      <c r="C220" s="16"/>
      <c r="D220" s="16"/>
    </row>
    <row r="221" spans="2:4" x14ac:dyDescent="0.2">
      <c r="B221" s="16"/>
      <c r="C221" s="16"/>
      <c r="D221" s="16"/>
    </row>
    <row r="222" spans="2:4" x14ac:dyDescent="0.2">
      <c r="B222" s="16"/>
      <c r="C222" s="16"/>
      <c r="D222" s="16"/>
    </row>
    <row r="223" spans="2:4" x14ac:dyDescent="0.2">
      <c r="B223" s="16"/>
      <c r="C223" s="16"/>
      <c r="D223" s="16"/>
    </row>
    <row r="224" spans="2:4" x14ac:dyDescent="0.2">
      <c r="B224" s="16"/>
      <c r="C224" s="16"/>
      <c r="D224" s="16"/>
    </row>
    <row r="225" spans="2:4" x14ac:dyDescent="0.2">
      <c r="B225" s="16"/>
      <c r="C225" s="16"/>
      <c r="D225" s="16"/>
    </row>
    <row r="226" spans="2:4" x14ac:dyDescent="0.2">
      <c r="B226" s="16"/>
      <c r="C226" s="16"/>
      <c r="D226" s="16"/>
    </row>
    <row r="227" spans="2:4" x14ac:dyDescent="0.2">
      <c r="B227" s="16"/>
      <c r="C227" s="16"/>
      <c r="D227" s="16"/>
    </row>
    <row r="228" spans="2:4" x14ac:dyDescent="0.2">
      <c r="B228" s="16"/>
      <c r="C228" s="16"/>
      <c r="D228" s="16"/>
    </row>
    <row r="229" spans="2:4" x14ac:dyDescent="0.2">
      <c r="B229" s="16"/>
      <c r="C229" s="16"/>
      <c r="D229" s="16"/>
    </row>
    <row r="230" spans="2:4" x14ac:dyDescent="0.2">
      <c r="B230" s="16"/>
      <c r="C230" s="16"/>
      <c r="D230" s="16"/>
    </row>
    <row r="231" spans="2:4" x14ac:dyDescent="0.2">
      <c r="B231" s="16"/>
      <c r="C231" s="16"/>
      <c r="D231" s="16"/>
    </row>
    <row r="232" spans="2:4" x14ac:dyDescent="0.2">
      <c r="B232" s="16"/>
      <c r="C232" s="16"/>
      <c r="D232" s="16"/>
    </row>
    <row r="233" spans="2:4" x14ac:dyDescent="0.2">
      <c r="B233" s="16"/>
      <c r="C233" s="16"/>
      <c r="D233" s="16"/>
    </row>
    <row r="234" spans="2:4" x14ac:dyDescent="0.2">
      <c r="B234" s="16"/>
      <c r="C234" s="16"/>
      <c r="D234" s="16"/>
    </row>
    <row r="235" spans="2:4" x14ac:dyDescent="0.2">
      <c r="B235" s="16"/>
      <c r="C235" s="16"/>
      <c r="D235" s="16"/>
    </row>
    <row r="236" spans="2:4" x14ac:dyDescent="0.2">
      <c r="B236" s="16"/>
      <c r="C236" s="16"/>
      <c r="D236" s="16"/>
    </row>
    <row r="237" spans="2:4" x14ac:dyDescent="0.2">
      <c r="B237" s="16"/>
      <c r="C237" s="16"/>
      <c r="D237" s="16"/>
    </row>
    <row r="238" spans="2:4" x14ac:dyDescent="0.2">
      <c r="B238" s="16"/>
      <c r="C238" s="16"/>
      <c r="D238" s="16"/>
    </row>
    <row r="239" spans="2:4" x14ac:dyDescent="0.2">
      <c r="B239" s="16"/>
      <c r="C239" s="16"/>
      <c r="D239" s="16"/>
    </row>
    <row r="240" spans="2:4" x14ac:dyDescent="0.2">
      <c r="B240" s="16"/>
      <c r="C240" s="16"/>
      <c r="D240" s="16"/>
    </row>
    <row r="241" spans="2:4" x14ac:dyDescent="0.2">
      <c r="B241" s="16"/>
      <c r="C241" s="16"/>
      <c r="D241" s="16"/>
    </row>
    <row r="242" spans="2:4" x14ac:dyDescent="0.2">
      <c r="B242" s="16"/>
      <c r="C242" s="16"/>
      <c r="D242" s="16"/>
    </row>
    <row r="243" spans="2:4" x14ac:dyDescent="0.2">
      <c r="B243" s="16"/>
      <c r="C243" s="16"/>
      <c r="D243" s="16"/>
    </row>
    <row r="244" spans="2:4" x14ac:dyDescent="0.2">
      <c r="B244" s="16"/>
      <c r="C244" s="16"/>
      <c r="D244" s="16"/>
    </row>
    <row r="245" spans="2:4" x14ac:dyDescent="0.2">
      <c r="B245" s="16"/>
      <c r="C245" s="16"/>
      <c r="D245" s="16"/>
    </row>
    <row r="246" spans="2:4" x14ac:dyDescent="0.2">
      <c r="B246" s="16"/>
      <c r="C246" s="16"/>
      <c r="D246" s="16"/>
    </row>
    <row r="247" spans="2:4" x14ac:dyDescent="0.2">
      <c r="B247" s="16"/>
      <c r="C247" s="16"/>
      <c r="D247" s="16"/>
    </row>
    <row r="248" spans="2:4" x14ac:dyDescent="0.2">
      <c r="B248" s="16"/>
      <c r="C248" s="16"/>
      <c r="D248" s="16"/>
    </row>
    <row r="249" spans="2:4" x14ac:dyDescent="0.2">
      <c r="B249" s="16"/>
      <c r="C249" s="16"/>
      <c r="D249" s="16"/>
    </row>
    <row r="250" spans="2:4" x14ac:dyDescent="0.2">
      <c r="B250" s="16"/>
      <c r="C250" s="16"/>
      <c r="D250" s="16"/>
    </row>
    <row r="251" spans="2:4" x14ac:dyDescent="0.2">
      <c r="B251" s="16"/>
      <c r="C251" s="16"/>
      <c r="D251" s="16"/>
    </row>
    <row r="252" spans="2:4" x14ac:dyDescent="0.2">
      <c r="B252" s="16"/>
      <c r="C252" s="16"/>
      <c r="D252" s="16"/>
    </row>
    <row r="253" spans="2:4" x14ac:dyDescent="0.2">
      <c r="B253" s="16"/>
      <c r="C253" s="16"/>
      <c r="D253" s="16"/>
    </row>
    <row r="254" spans="2:4" x14ac:dyDescent="0.2">
      <c r="B254" s="16"/>
      <c r="C254" s="16"/>
      <c r="D254" s="16"/>
    </row>
    <row r="255" spans="2:4" x14ac:dyDescent="0.2">
      <c r="B255" s="16"/>
      <c r="C255" s="16"/>
      <c r="D255" s="16"/>
    </row>
    <row r="256" spans="2:4" x14ac:dyDescent="0.2">
      <c r="B256" s="16"/>
      <c r="C256" s="16"/>
      <c r="D256" s="16"/>
    </row>
    <row r="257" spans="2:4" x14ac:dyDescent="0.2">
      <c r="B257" s="16"/>
      <c r="C257" s="16"/>
      <c r="D257" s="16"/>
    </row>
    <row r="258" spans="2:4" x14ac:dyDescent="0.2">
      <c r="B258" s="16"/>
      <c r="C258" s="16"/>
      <c r="D258" s="16"/>
    </row>
    <row r="259" spans="2:4" x14ac:dyDescent="0.2">
      <c r="B259" s="16"/>
      <c r="C259" s="16"/>
      <c r="D259" s="16"/>
    </row>
    <row r="260" spans="2:4" x14ac:dyDescent="0.2">
      <c r="B260" s="16"/>
      <c r="C260" s="16"/>
      <c r="D260" s="16"/>
    </row>
    <row r="261" spans="2:4" x14ac:dyDescent="0.2">
      <c r="B261" s="16"/>
      <c r="C261" s="16"/>
      <c r="D261" s="16"/>
    </row>
    <row r="262" spans="2:4" x14ac:dyDescent="0.2">
      <c r="B262" s="16"/>
      <c r="C262" s="16"/>
      <c r="D262" s="16"/>
    </row>
    <row r="263" spans="2:4" x14ac:dyDescent="0.2">
      <c r="B263" s="16"/>
      <c r="C263" s="16"/>
      <c r="D263" s="16"/>
    </row>
    <row r="264" spans="2:4" x14ac:dyDescent="0.2">
      <c r="B264" s="16"/>
      <c r="C264" s="16"/>
      <c r="D264" s="16"/>
    </row>
    <row r="265" spans="2:4" x14ac:dyDescent="0.2">
      <c r="B265" s="16"/>
      <c r="C265" s="16"/>
      <c r="D265" s="16"/>
    </row>
    <row r="266" spans="2:4" x14ac:dyDescent="0.2">
      <c r="B266" s="16"/>
      <c r="C266" s="16"/>
      <c r="D266" s="16"/>
    </row>
    <row r="267" spans="2:4" x14ac:dyDescent="0.2">
      <c r="B267" s="16"/>
      <c r="C267" s="16"/>
      <c r="D267" s="16"/>
    </row>
    <row r="268" spans="2:4" x14ac:dyDescent="0.2">
      <c r="B268" s="16"/>
      <c r="C268" s="16"/>
      <c r="D268" s="16"/>
    </row>
    <row r="269" spans="2:4" x14ac:dyDescent="0.2">
      <c r="B269" s="16"/>
      <c r="C269" s="16"/>
      <c r="D269" s="16"/>
    </row>
    <row r="270" spans="2:4" x14ac:dyDescent="0.2">
      <c r="B270" s="16"/>
      <c r="C270" s="16"/>
      <c r="D270" s="16"/>
    </row>
    <row r="271" spans="2:4" x14ac:dyDescent="0.2">
      <c r="B271" s="16"/>
      <c r="C271" s="16"/>
      <c r="D271" s="16"/>
    </row>
    <row r="272" spans="2:4" x14ac:dyDescent="0.2">
      <c r="B272" s="16"/>
      <c r="C272" s="16"/>
      <c r="D272" s="16"/>
    </row>
    <row r="273" spans="2:4" x14ac:dyDescent="0.2">
      <c r="B273" s="16"/>
      <c r="C273" s="16"/>
      <c r="D273" s="16"/>
    </row>
    <row r="274" spans="2:4" x14ac:dyDescent="0.2">
      <c r="B274" s="16"/>
      <c r="C274" s="16"/>
      <c r="D274" s="16"/>
    </row>
    <row r="275" spans="2:4" x14ac:dyDescent="0.2">
      <c r="B275" s="16"/>
      <c r="C275" s="16"/>
      <c r="D275" s="16"/>
    </row>
    <row r="276" spans="2:4" x14ac:dyDescent="0.2">
      <c r="B276" s="16"/>
      <c r="C276" s="16"/>
      <c r="D276" s="16"/>
    </row>
    <row r="277" spans="2:4" x14ac:dyDescent="0.2">
      <c r="B277" s="16"/>
      <c r="C277" s="16"/>
      <c r="D277" s="16"/>
    </row>
    <row r="278" spans="2:4" x14ac:dyDescent="0.2">
      <c r="B278" s="16"/>
      <c r="C278" s="16"/>
      <c r="D278" s="16"/>
    </row>
    <row r="279" spans="2:4" x14ac:dyDescent="0.2">
      <c r="B279" s="16"/>
      <c r="C279" s="16"/>
      <c r="D279" s="16"/>
    </row>
    <row r="280" spans="2:4" x14ac:dyDescent="0.2">
      <c r="B280" s="16"/>
      <c r="C280" s="16"/>
      <c r="D280" s="16"/>
    </row>
    <row r="281" spans="2:4" x14ac:dyDescent="0.2">
      <c r="B281" s="16"/>
      <c r="C281" s="16"/>
      <c r="D281" s="16"/>
    </row>
    <row r="282" spans="2:4" x14ac:dyDescent="0.2">
      <c r="B282" s="16"/>
      <c r="C282" s="16"/>
      <c r="D282" s="16"/>
    </row>
    <row r="283" spans="2:4" x14ac:dyDescent="0.2">
      <c r="B283" s="16"/>
      <c r="C283" s="16"/>
      <c r="D283" s="16"/>
    </row>
    <row r="284" spans="2:4" x14ac:dyDescent="0.2">
      <c r="B284" s="16"/>
      <c r="C284" s="16"/>
      <c r="D284" s="16"/>
    </row>
    <row r="285" spans="2:4" x14ac:dyDescent="0.2">
      <c r="B285" s="16"/>
      <c r="C285" s="16"/>
      <c r="D285" s="16"/>
    </row>
    <row r="286" spans="2:4" x14ac:dyDescent="0.2">
      <c r="B286" s="16"/>
      <c r="C286" s="16"/>
      <c r="D286" s="16"/>
    </row>
    <row r="287" spans="2:4" x14ac:dyDescent="0.2">
      <c r="B287" s="16"/>
      <c r="C287" s="16"/>
      <c r="D287" s="16"/>
    </row>
    <row r="288" spans="2:4" x14ac:dyDescent="0.2">
      <c r="B288" s="16"/>
      <c r="C288" s="16"/>
      <c r="D288" s="16"/>
    </row>
    <row r="289" spans="2:4" x14ac:dyDescent="0.2">
      <c r="B289" s="16"/>
      <c r="C289" s="16"/>
      <c r="D289" s="16"/>
    </row>
    <row r="290" spans="2:4" x14ac:dyDescent="0.2">
      <c r="B290" s="16"/>
      <c r="C290" s="16"/>
      <c r="D290" s="16"/>
    </row>
    <row r="291" spans="2:4" x14ac:dyDescent="0.2">
      <c r="B291" s="16"/>
      <c r="C291" s="16"/>
      <c r="D291" s="16"/>
    </row>
    <row r="292" spans="2:4" x14ac:dyDescent="0.2">
      <c r="B292" s="16"/>
      <c r="C292" s="16"/>
      <c r="D292" s="16"/>
    </row>
    <row r="293" spans="2:4" x14ac:dyDescent="0.2">
      <c r="B293" s="16"/>
      <c r="C293" s="16"/>
      <c r="D293" s="16"/>
    </row>
    <row r="294" spans="2:4" x14ac:dyDescent="0.2">
      <c r="B294" s="16"/>
      <c r="C294" s="16"/>
      <c r="D294" s="16"/>
    </row>
    <row r="295" spans="2:4" x14ac:dyDescent="0.2">
      <c r="B295" s="16"/>
      <c r="C295" s="16"/>
      <c r="D295" s="16"/>
    </row>
    <row r="296" spans="2:4" x14ac:dyDescent="0.2">
      <c r="B296" s="16"/>
      <c r="C296" s="16"/>
      <c r="D296" s="16"/>
    </row>
    <row r="297" spans="2:4" x14ac:dyDescent="0.2">
      <c r="B297" s="16"/>
      <c r="C297" s="16"/>
      <c r="D297" s="16"/>
    </row>
    <row r="298" spans="2:4" x14ac:dyDescent="0.2">
      <c r="B298" s="16"/>
      <c r="C298" s="16"/>
      <c r="D298" s="16"/>
    </row>
    <row r="299" spans="2:4" x14ac:dyDescent="0.2">
      <c r="B299" s="16"/>
      <c r="C299" s="16"/>
      <c r="D299" s="16"/>
    </row>
    <row r="300" spans="2:4" x14ac:dyDescent="0.2">
      <c r="B300" s="16"/>
      <c r="C300" s="16"/>
      <c r="D300" s="16"/>
    </row>
    <row r="301" spans="2:4" x14ac:dyDescent="0.2">
      <c r="B301" s="16"/>
      <c r="C301" s="16"/>
      <c r="D301" s="16"/>
    </row>
    <row r="302" spans="2:4" x14ac:dyDescent="0.2">
      <c r="B302" s="16"/>
      <c r="C302" s="16"/>
      <c r="D302" s="16"/>
    </row>
    <row r="303" spans="2:4" x14ac:dyDescent="0.2">
      <c r="B303" s="16"/>
      <c r="C303" s="16"/>
      <c r="D303" s="16"/>
    </row>
    <row r="304" spans="2:4" x14ac:dyDescent="0.2">
      <c r="B304" s="16"/>
      <c r="C304" s="16"/>
      <c r="D304" s="16"/>
    </row>
    <row r="305" spans="2:4" x14ac:dyDescent="0.2">
      <c r="B305" s="16"/>
      <c r="C305" s="16"/>
      <c r="D305" s="16"/>
    </row>
    <row r="306" spans="2:4" x14ac:dyDescent="0.2">
      <c r="B306" s="16"/>
      <c r="C306" s="16"/>
      <c r="D306" s="16"/>
    </row>
    <row r="307" spans="2:4" x14ac:dyDescent="0.2">
      <c r="B307" s="16"/>
      <c r="C307" s="16"/>
      <c r="D307" s="16"/>
    </row>
    <row r="308" spans="2:4" x14ac:dyDescent="0.2">
      <c r="B308" s="16"/>
      <c r="C308" s="16"/>
      <c r="D308" s="16"/>
    </row>
    <row r="309" spans="2:4" x14ac:dyDescent="0.2">
      <c r="B309" s="16"/>
      <c r="C309" s="16"/>
      <c r="D309" s="16"/>
    </row>
    <row r="310" spans="2:4" x14ac:dyDescent="0.2">
      <c r="B310" s="16"/>
      <c r="C310" s="16"/>
      <c r="D310" s="16"/>
    </row>
    <row r="311" spans="2:4" x14ac:dyDescent="0.2">
      <c r="B311" s="16"/>
      <c r="C311" s="16"/>
      <c r="D311" s="16"/>
    </row>
    <row r="312" spans="2:4" x14ac:dyDescent="0.2">
      <c r="B312" s="16"/>
      <c r="C312" s="16"/>
      <c r="D312" s="16"/>
    </row>
    <row r="313" spans="2:4" x14ac:dyDescent="0.2">
      <c r="B313" s="16"/>
      <c r="C313" s="16"/>
      <c r="D313" s="16"/>
    </row>
    <row r="314" spans="2:4" x14ac:dyDescent="0.2">
      <c r="B314" s="16"/>
      <c r="C314" s="16"/>
      <c r="D314" s="16"/>
    </row>
    <row r="315" spans="2:4" x14ac:dyDescent="0.2">
      <c r="B315" s="16"/>
      <c r="C315" s="16"/>
      <c r="D315" s="16"/>
    </row>
    <row r="316" spans="2:4" x14ac:dyDescent="0.2">
      <c r="B316" s="16"/>
      <c r="C316" s="16"/>
      <c r="D316" s="16"/>
    </row>
    <row r="317" spans="2:4" x14ac:dyDescent="0.2">
      <c r="B317" s="16"/>
      <c r="C317" s="16"/>
      <c r="D317" s="16"/>
    </row>
    <row r="318" spans="2:4" x14ac:dyDescent="0.2">
      <c r="B318" s="16"/>
      <c r="C318" s="16"/>
      <c r="D318" s="16"/>
    </row>
    <row r="319" spans="2:4" x14ac:dyDescent="0.2">
      <c r="B319" s="16"/>
      <c r="C319" s="16"/>
      <c r="D319" s="16"/>
    </row>
    <row r="320" spans="2:4" x14ac:dyDescent="0.2">
      <c r="B320" s="16"/>
      <c r="C320" s="16"/>
      <c r="D320" s="16"/>
    </row>
    <row r="321" spans="2:4" x14ac:dyDescent="0.2">
      <c r="B321" s="16"/>
      <c r="C321" s="16"/>
      <c r="D321" s="16"/>
    </row>
    <row r="322" spans="2:4" x14ac:dyDescent="0.2">
      <c r="B322" s="16"/>
      <c r="C322" s="16"/>
      <c r="D322" s="16"/>
    </row>
    <row r="323" spans="2:4" x14ac:dyDescent="0.2">
      <c r="B323" s="16"/>
      <c r="C323" s="16"/>
      <c r="D323" s="16"/>
    </row>
    <row r="324" spans="2:4" x14ac:dyDescent="0.2">
      <c r="B324" s="16"/>
      <c r="C324" s="16"/>
      <c r="D324" s="16"/>
    </row>
    <row r="325" spans="2:4" x14ac:dyDescent="0.2">
      <c r="B325" s="16"/>
      <c r="C325" s="16"/>
      <c r="D325" s="16"/>
    </row>
    <row r="326" spans="2:4" x14ac:dyDescent="0.2">
      <c r="B326" s="16"/>
      <c r="C326" s="16"/>
      <c r="D326" s="16"/>
    </row>
    <row r="327" spans="2:4" x14ac:dyDescent="0.2">
      <c r="B327" s="16"/>
      <c r="C327" s="16"/>
      <c r="D327" s="16"/>
    </row>
    <row r="328" spans="2:4" x14ac:dyDescent="0.2">
      <c r="B328" s="16"/>
      <c r="C328" s="16"/>
      <c r="D328" s="16"/>
    </row>
    <row r="329" spans="2:4" x14ac:dyDescent="0.2">
      <c r="B329" s="16"/>
      <c r="C329" s="16"/>
      <c r="D329" s="16"/>
    </row>
    <row r="330" spans="2:4" x14ac:dyDescent="0.2">
      <c r="B330" s="16"/>
      <c r="C330" s="16"/>
      <c r="D330" s="16"/>
    </row>
    <row r="331" spans="2:4" x14ac:dyDescent="0.2">
      <c r="B331" s="16"/>
      <c r="C331" s="16"/>
      <c r="D331" s="16"/>
    </row>
    <row r="332" spans="2:4" x14ac:dyDescent="0.2">
      <c r="B332" s="16"/>
      <c r="C332" s="16"/>
      <c r="D332" s="16"/>
    </row>
    <row r="333" spans="2:4" x14ac:dyDescent="0.2">
      <c r="B333" s="16"/>
      <c r="C333" s="16"/>
      <c r="D333" s="16"/>
    </row>
    <row r="334" spans="2:4" x14ac:dyDescent="0.2">
      <c r="B334" s="16"/>
      <c r="C334" s="16"/>
      <c r="D334" s="16"/>
    </row>
    <row r="335" spans="2:4" x14ac:dyDescent="0.2">
      <c r="B335" s="16"/>
      <c r="C335" s="16"/>
      <c r="D335" s="16"/>
    </row>
    <row r="336" spans="2:4" x14ac:dyDescent="0.2">
      <c r="B336" s="16"/>
      <c r="C336" s="16"/>
      <c r="D336" s="16"/>
    </row>
    <row r="337" spans="2:4" x14ac:dyDescent="0.2">
      <c r="B337" s="16"/>
      <c r="C337" s="16"/>
      <c r="D337" s="16"/>
    </row>
    <row r="338" spans="2:4" x14ac:dyDescent="0.2">
      <c r="B338" s="16"/>
      <c r="C338" s="16"/>
      <c r="D338" s="16"/>
    </row>
    <row r="339" spans="2:4" x14ac:dyDescent="0.2">
      <c r="B339" s="16"/>
      <c r="C339" s="16"/>
      <c r="D339" s="16"/>
    </row>
    <row r="340" spans="2:4" x14ac:dyDescent="0.2">
      <c r="B340" s="16"/>
      <c r="C340" s="16"/>
      <c r="D340" s="16"/>
    </row>
    <row r="341" spans="2:4" x14ac:dyDescent="0.2">
      <c r="B341" s="16"/>
      <c r="C341" s="16"/>
      <c r="D341" s="16"/>
    </row>
    <row r="342" spans="2:4" x14ac:dyDescent="0.2">
      <c r="B342" s="16"/>
      <c r="C342" s="16"/>
      <c r="D342" s="16"/>
    </row>
    <row r="343" spans="2:4" x14ac:dyDescent="0.2">
      <c r="B343" s="16"/>
      <c r="C343" s="16"/>
      <c r="D343" s="16"/>
    </row>
    <row r="344" spans="2:4" x14ac:dyDescent="0.2">
      <c r="B344" s="16"/>
      <c r="C344" s="16"/>
      <c r="D344" s="16"/>
    </row>
    <row r="345" spans="2:4" x14ac:dyDescent="0.2">
      <c r="B345" s="16"/>
      <c r="C345" s="16"/>
      <c r="D345" s="16"/>
    </row>
    <row r="346" spans="2:4" x14ac:dyDescent="0.2">
      <c r="B346" s="16"/>
      <c r="C346" s="16"/>
      <c r="D346" s="16"/>
    </row>
    <row r="347" spans="2:4" x14ac:dyDescent="0.2">
      <c r="B347" s="16"/>
      <c r="C347" s="16"/>
      <c r="D347" s="16"/>
    </row>
    <row r="348" spans="2:4" x14ac:dyDescent="0.2">
      <c r="B348" s="16"/>
      <c r="C348" s="16"/>
      <c r="D348" s="16"/>
    </row>
    <row r="349" spans="2:4" x14ac:dyDescent="0.2">
      <c r="B349" s="16"/>
      <c r="C349" s="16"/>
      <c r="D349" s="16"/>
    </row>
    <row r="350" spans="2:4" x14ac:dyDescent="0.2">
      <c r="B350" s="16"/>
      <c r="C350" s="16"/>
      <c r="D350" s="16"/>
    </row>
    <row r="351" spans="2:4" x14ac:dyDescent="0.2">
      <c r="B351" s="16"/>
      <c r="C351" s="16"/>
      <c r="D351" s="16"/>
    </row>
    <row r="352" spans="2:4" x14ac:dyDescent="0.2">
      <c r="B352" s="16"/>
      <c r="C352" s="16"/>
      <c r="D352" s="16"/>
    </row>
    <row r="353" spans="2:4" x14ac:dyDescent="0.2">
      <c r="B353" s="16"/>
      <c r="C353" s="16"/>
      <c r="D353" s="16"/>
    </row>
    <row r="354" spans="2:4" x14ac:dyDescent="0.2">
      <c r="B354" s="16"/>
      <c r="C354" s="16"/>
      <c r="D354" s="16"/>
    </row>
    <row r="355" spans="2:4" x14ac:dyDescent="0.2">
      <c r="B355" s="16"/>
      <c r="C355" s="16"/>
      <c r="D355" s="16"/>
    </row>
    <row r="356" spans="2:4" x14ac:dyDescent="0.2">
      <c r="B356" s="16"/>
      <c r="C356" s="16"/>
      <c r="D356" s="16"/>
    </row>
    <row r="357" spans="2:4" x14ac:dyDescent="0.2">
      <c r="B357" s="16"/>
      <c r="C357" s="16"/>
      <c r="D357" s="16"/>
    </row>
    <row r="358" spans="2:4" x14ac:dyDescent="0.2">
      <c r="B358" s="16"/>
      <c r="C358" s="16"/>
      <c r="D358" s="16"/>
    </row>
    <row r="359" spans="2:4" x14ac:dyDescent="0.2">
      <c r="B359" s="16"/>
      <c r="C359" s="16"/>
      <c r="D359" s="16"/>
    </row>
    <row r="360" spans="2:4" x14ac:dyDescent="0.2">
      <c r="B360" s="16"/>
      <c r="C360" s="16"/>
      <c r="D360" s="16"/>
    </row>
    <row r="361" spans="2:4" x14ac:dyDescent="0.2">
      <c r="B361" s="16"/>
      <c r="C361" s="16"/>
      <c r="D361" s="16"/>
    </row>
    <row r="362" spans="2:4" x14ac:dyDescent="0.2">
      <c r="B362" s="16"/>
      <c r="C362" s="16"/>
      <c r="D362" s="16"/>
    </row>
    <row r="363" spans="2:4" x14ac:dyDescent="0.2">
      <c r="B363" s="16"/>
      <c r="C363" s="16"/>
      <c r="D363" s="16"/>
    </row>
    <row r="364" spans="2:4" x14ac:dyDescent="0.2">
      <c r="B364" s="16"/>
      <c r="C364" s="16"/>
      <c r="D364" s="16"/>
    </row>
    <row r="365" spans="2:4" x14ac:dyDescent="0.2">
      <c r="B365" s="16"/>
      <c r="C365" s="16"/>
      <c r="D365" s="16"/>
    </row>
    <row r="366" spans="2:4" x14ac:dyDescent="0.2">
      <c r="B366" s="16"/>
      <c r="C366" s="16"/>
      <c r="D366" s="16"/>
    </row>
    <row r="367" spans="2:4" x14ac:dyDescent="0.2">
      <c r="B367" s="16"/>
      <c r="C367" s="16"/>
      <c r="D367" s="16"/>
    </row>
    <row r="368" spans="2:4" x14ac:dyDescent="0.2">
      <c r="B368" s="16"/>
      <c r="C368" s="16"/>
      <c r="D368" s="16"/>
    </row>
    <row r="369" spans="2:4" x14ac:dyDescent="0.2">
      <c r="B369" s="16"/>
      <c r="C369" s="16"/>
      <c r="D369" s="16"/>
    </row>
    <row r="370" spans="2:4" x14ac:dyDescent="0.2">
      <c r="B370" s="16"/>
      <c r="C370" s="16"/>
      <c r="D370" s="16"/>
    </row>
    <row r="371" spans="2:4" x14ac:dyDescent="0.2">
      <c r="B371" s="16"/>
      <c r="C371" s="16"/>
      <c r="D371" s="16"/>
    </row>
    <row r="372" spans="2:4" x14ac:dyDescent="0.2">
      <c r="B372" s="16"/>
      <c r="C372" s="16"/>
      <c r="D372" s="16"/>
    </row>
    <row r="373" spans="2:4" x14ac:dyDescent="0.2">
      <c r="B373" s="16"/>
      <c r="C373" s="16"/>
      <c r="D373" s="16"/>
    </row>
    <row r="374" spans="2:4" x14ac:dyDescent="0.2">
      <c r="B374" s="16"/>
      <c r="C374" s="16"/>
      <c r="D374" s="16"/>
    </row>
    <row r="375" spans="2:4" x14ac:dyDescent="0.2">
      <c r="B375" s="16"/>
      <c r="C375" s="16"/>
      <c r="D375" s="16"/>
    </row>
    <row r="376" spans="2:4" x14ac:dyDescent="0.2">
      <c r="B376" s="16"/>
      <c r="C376" s="16"/>
      <c r="D376" s="16"/>
    </row>
    <row r="377" spans="2:4" x14ac:dyDescent="0.2">
      <c r="B377" s="16"/>
      <c r="C377" s="16"/>
      <c r="D377" s="16"/>
    </row>
    <row r="378" spans="2:4" x14ac:dyDescent="0.2">
      <c r="B378" s="16"/>
      <c r="C378" s="16"/>
      <c r="D378" s="16"/>
    </row>
    <row r="379" spans="2:4" x14ac:dyDescent="0.2">
      <c r="B379" s="16"/>
      <c r="C379" s="16"/>
      <c r="D379" s="16"/>
    </row>
    <row r="380" spans="2:4" x14ac:dyDescent="0.2">
      <c r="B380" s="16"/>
      <c r="C380" s="16"/>
      <c r="D380" s="16"/>
    </row>
    <row r="381" spans="2:4" x14ac:dyDescent="0.2">
      <c r="B381" s="16"/>
      <c r="C381" s="16"/>
      <c r="D381" s="16"/>
    </row>
    <row r="382" spans="2:4" x14ac:dyDescent="0.2">
      <c r="B382" s="16"/>
      <c r="C382" s="16"/>
      <c r="D382" s="16"/>
    </row>
    <row r="383" spans="2:4" x14ac:dyDescent="0.2">
      <c r="B383" s="16"/>
      <c r="C383" s="16"/>
      <c r="D383" s="16"/>
    </row>
    <row r="384" spans="2:4" x14ac:dyDescent="0.2">
      <c r="B384" s="16"/>
      <c r="C384" s="16"/>
      <c r="D384" s="16"/>
    </row>
    <row r="385" spans="2:4" x14ac:dyDescent="0.2">
      <c r="B385" s="16"/>
      <c r="C385" s="16"/>
      <c r="D385" s="16"/>
    </row>
    <row r="386" spans="2:4" x14ac:dyDescent="0.2">
      <c r="B386" s="16"/>
      <c r="C386" s="16"/>
      <c r="D386" s="16"/>
    </row>
    <row r="387" spans="2:4" x14ac:dyDescent="0.2">
      <c r="B387" s="16"/>
      <c r="C387" s="16"/>
      <c r="D387" s="16"/>
    </row>
    <row r="388" spans="2:4" x14ac:dyDescent="0.2">
      <c r="B388" s="16"/>
      <c r="C388" s="16"/>
      <c r="D388" s="16"/>
    </row>
    <row r="389" spans="2:4" x14ac:dyDescent="0.2">
      <c r="B389" s="16"/>
      <c r="C389" s="16"/>
      <c r="D389" s="16"/>
    </row>
    <row r="390" spans="2:4" x14ac:dyDescent="0.2">
      <c r="B390" s="16"/>
      <c r="C390" s="16"/>
      <c r="D390" s="16"/>
    </row>
  </sheetData>
  <sheetProtection algorithmName="SHA-512" hashValue="xD5uSekW3gKOKfOALsYKyPSDW6+apeXFQO9ZZ8h+vhy8b0yPtMs+6DJJwj2FCzE/Dwt4hG0JJIUyTkbK7TuJaw==" saltValue="FHL4mZX+FPTtS9TBpdQsKg==" spinCount="100000" sheet="1" objects="1" scenarios="1"/>
  <pageMargins left="0.7" right="0.7" top="0.75" bottom="0.75" header="0.3" footer="0.3"/>
  <pageSetup paperSize="9" scale="99"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95"/>
  <sheetViews>
    <sheetView zoomScale="85" zoomScaleNormal="85" workbookViewId="0">
      <selection activeCell="K33" sqref="K33"/>
    </sheetView>
  </sheetViews>
  <sheetFormatPr defaultRowHeight="12.75" x14ac:dyDescent="0.2"/>
  <cols>
    <col min="1" max="1" width="37.625" customWidth="1"/>
    <col min="2" max="2" width="5.75" customWidth="1"/>
    <col min="3" max="3" width="9.75" style="64" customWidth="1"/>
    <col min="4" max="7" width="10" customWidth="1"/>
    <col min="8" max="8" width="6.625" style="26" customWidth="1"/>
    <col min="9" max="13" width="10.375" customWidth="1"/>
  </cols>
  <sheetData>
    <row r="1" spans="1:16" ht="19.5" x14ac:dyDescent="0.25">
      <c r="A1" s="9" t="s">
        <v>9</v>
      </c>
      <c r="B1" s="9"/>
      <c r="C1" s="56" t="s">
        <v>40</v>
      </c>
      <c r="D1" s="9"/>
      <c r="E1" s="9"/>
      <c r="F1" s="9"/>
      <c r="G1" s="9"/>
      <c r="H1" s="7"/>
      <c r="I1" s="9" t="s">
        <v>19</v>
      </c>
      <c r="J1" s="9"/>
      <c r="K1" s="9"/>
    </row>
    <row r="2" spans="1:16" ht="31.5" customHeight="1" thickBot="1" x14ac:dyDescent="0.3">
      <c r="A2" s="10" t="s">
        <v>33</v>
      </c>
      <c r="B2" s="34"/>
      <c r="C2" s="57" t="str">
        <f>Legislation!B8</f>
        <v>2016/17</v>
      </c>
      <c r="D2" s="8" t="str">
        <f>Legislation!C8</f>
        <v>2017/18</v>
      </c>
      <c r="E2" s="8" t="str">
        <f>Legislation!D8</f>
        <v>2018/19</v>
      </c>
      <c r="F2" s="8" t="str">
        <f>Legislation!E8</f>
        <v>2019/20</v>
      </c>
      <c r="G2" s="8" t="str">
        <f>Legislation!F8</f>
        <v>2020/21</v>
      </c>
      <c r="I2" s="8" t="str">
        <f t="shared" ref="I2:M4" si="0">C2</f>
        <v>2016/17</v>
      </c>
      <c r="J2" s="8" t="str">
        <f t="shared" si="0"/>
        <v>2017/18</v>
      </c>
      <c r="K2" s="8" t="str">
        <f t="shared" si="0"/>
        <v>2018/19</v>
      </c>
      <c r="L2" s="8" t="str">
        <f t="shared" si="0"/>
        <v>2019/20</v>
      </c>
      <c r="M2" s="8" t="str">
        <f t="shared" si="0"/>
        <v>2020/21</v>
      </c>
    </row>
    <row r="3" spans="1:16" ht="14.25" thickTop="1" thickBot="1" x14ac:dyDescent="0.25">
      <c r="A3" t="s">
        <v>11</v>
      </c>
      <c r="B3" s="3"/>
      <c r="C3" s="58">
        <f>Summary!E4</f>
        <v>166680</v>
      </c>
      <c r="D3" s="51">
        <f>C3</f>
        <v>166680</v>
      </c>
      <c r="E3" s="51">
        <f t="shared" ref="E3:G3" si="1">D3</f>
        <v>166680</v>
      </c>
      <c r="F3" s="51">
        <f t="shared" si="1"/>
        <v>166680</v>
      </c>
      <c r="G3" s="51">
        <f t="shared" si="1"/>
        <v>166680</v>
      </c>
      <c r="H3" s="52"/>
      <c r="I3" s="51">
        <f t="shared" si="0"/>
        <v>166680</v>
      </c>
      <c r="J3" s="51">
        <f t="shared" si="0"/>
        <v>166680</v>
      </c>
      <c r="K3" s="51">
        <f t="shared" si="0"/>
        <v>166680</v>
      </c>
      <c r="L3" s="51">
        <f t="shared" si="0"/>
        <v>166680</v>
      </c>
      <c r="M3" s="51">
        <f t="shared" si="0"/>
        <v>166680</v>
      </c>
      <c r="N3" s="5"/>
      <c r="O3" s="5"/>
      <c r="P3" s="5"/>
    </row>
    <row r="4" spans="1:16" ht="14.25" thickTop="1" thickBot="1" x14ac:dyDescent="0.25">
      <c r="A4" t="s">
        <v>12</v>
      </c>
      <c r="B4" s="33" t="s">
        <v>84</v>
      </c>
      <c r="C4" s="58">
        <f>Summary!E5</f>
        <v>-25000</v>
      </c>
      <c r="D4" s="51">
        <f t="shared" ref="D4:G5" si="2">C4</f>
        <v>-25000</v>
      </c>
      <c r="E4" s="51">
        <f t="shared" si="2"/>
        <v>-25000</v>
      </c>
      <c r="F4" s="51">
        <f t="shared" si="2"/>
        <v>-25000</v>
      </c>
      <c r="G4" s="51">
        <f t="shared" si="2"/>
        <v>-25000</v>
      </c>
      <c r="H4" s="52"/>
      <c r="I4" s="51">
        <f t="shared" si="0"/>
        <v>-25000</v>
      </c>
      <c r="J4" s="51">
        <f t="shared" si="0"/>
        <v>-25000</v>
      </c>
      <c r="K4" s="51">
        <f t="shared" si="0"/>
        <v>-25000</v>
      </c>
      <c r="L4" s="51">
        <f t="shared" si="0"/>
        <v>-25000</v>
      </c>
      <c r="M4" s="51">
        <f t="shared" si="0"/>
        <v>-25000</v>
      </c>
      <c r="N4" s="5"/>
      <c r="O4" s="35" t="str">
        <f>+IF(C4&gt;0,"Error - cell C4 should be negative","")</f>
        <v/>
      </c>
      <c r="P4" s="5"/>
    </row>
    <row r="5" spans="1:16" ht="14.25" thickTop="1" thickBot="1" x14ac:dyDescent="0.25">
      <c r="A5" t="s">
        <v>13</v>
      </c>
      <c r="B5" s="3" t="str">
        <f>B4</f>
        <v>-ve</v>
      </c>
      <c r="C5" s="58">
        <f>Summary!E6</f>
        <v>-100000</v>
      </c>
      <c r="D5" s="51">
        <f t="shared" si="2"/>
        <v>-100000</v>
      </c>
      <c r="E5" s="51">
        <f t="shared" si="2"/>
        <v>-100000</v>
      </c>
      <c r="F5" s="51">
        <f t="shared" si="2"/>
        <v>-100000</v>
      </c>
      <c r="G5" s="51">
        <f t="shared" si="2"/>
        <v>-100000</v>
      </c>
      <c r="H5" s="52"/>
      <c r="I5" s="51">
        <f>C5*(0.05+Legislation!$C53)/0.05</f>
        <v>-110000</v>
      </c>
      <c r="J5" s="51">
        <f>D5*(0.05+Legislation!$C53)/0.05</f>
        <v>-110000</v>
      </c>
      <c r="K5" s="51">
        <f>E5*(0.05+Legislation!$C53)/0.05</f>
        <v>-110000</v>
      </c>
      <c r="L5" s="51">
        <f>F5*(0.05+Legislation!$C53)/0.05</f>
        <v>-110000</v>
      </c>
      <c r="M5" s="51">
        <f>G5*(0.05+Legislation!$C53)/0.05</f>
        <v>-110000</v>
      </c>
      <c r="N5" s="5"/>
      <c r="O5" s="35" t="str">
        <f>+IF(C5&gt;0,"Error - cell C5 should be negative","")</f>
        <v/>
      </c>
      <c r="P5" s="5"/>
    </row>
    <row r="6" spans="1:16" ht="13.5" thickTop="1" x14ac:dyDescent="0.2">
      <c r="A6" t="s">
        <v>24</v>
      </c>
      <c r="C6" s="58">
        <f>SUM(C3:C5)</f>
        <v>41680</v>
      </c>
      <c r="D6" s="16">
        <f t="shared" ref="D6:G6" si="3">SUM(D3:D5)</f>
        <v>41680</v>
      </c>
      <c r="E6" s="16">
        <f t="shared" si="3"/>
        <v>41680</v>
      </c>
      <c r="F6" s="16">
        <f t="shared" si="3"/>
        <v>41680</v>
      </c>
      <c r="G6" s="16">
        <f t="shared" si="3"/>
        <v>41680</v>
      </c>
      <c r="H6" s="27"/>
      <c r="I6" s="16"/>
      <c r="J6" s="16"/>
      <c r="K6" s="16"/>
      <c r="L6" s="16"/>
      <c r="M6" s="16"/>
      <c r="N6" s="5"/>
      <c r="O6" s="5"/>
      <c r="P6" s="5"/>
    </row>
    <row r="7" spans="1:16" x14ac:dyDescent="0.2">
      <c r="A7" t="s">
        <v>20</v>
      </c>
      <c r="C7" s="59"/>
      <c r="D7" s="16"/>
      <c r="E7" s="16"/>
      <c r="F7" s="16"/>
      <c r="G7" s="16"/>
      <c r="H7" s="27"/>
      <c r="I7" s="16">
        <f>-(Legislation!$C54+Legislation!$E54*I3/100)*IF(I3&gt;0,1,0)</f>
        <v>-933.4</v>
      </c>
      <c r="J7" s="16">
        <f>-(Legislation!$C54+Legislation!$E54*J3/100)*IF(J3&gt;0,1,0)</f>
        <v>-933.4</v>
      </c>
      <c r="K7" s="16">
        <f>-(Legislation!$C54+Legislation!$E54*K3/100)*IF(K3&gt;0,1,0)</f>
        <v>-933.4</v>
      </c>
      <c r="L7" s="16">
        <f>-(Legislation!$C54+Legislation!$E54*L3/100)*IF(L3&gt;0,1,0)</f>
        <v>-933.4</v>
      </c>
      <c r="M7" s="16">
        <f>-(Legislation!$C54+Legislation!$E54*M3/100)*IF(M3&gt;0,1,0)</f>
        <v>-933.4</v>
      </c>
      <c r="N7" s="5"/>
      <c r="O7" s="5"/>
      <c r="P7" s="5"/>
    </row>
    <row r="8" spans="1:16" s="12" customFormat="1" x14ac:dyDescent="0.2">
      <c r="A8" s="12" t="s">
        <v>131</v>
      </c>
      <c r="C8" s="60"/>
      <c r="D8" s="17"/>
      <c r="E8" s="17"/>
      <c r="F8" s="17"/>
      <c r="G8" s="17"/>
      <c r="H8" s="17"/>
      <c r="I8" s="17">
        <f>SUM(I3:I7)</f>
        <v>30746.6</v>
      </c>
      <c r="J8" s="17">
        <f t="shared" ref="J8:M8" si="4">SUM(J3:J7)</f>
        <v>30746.6</v>
      </c>
      <c r="K8" s="17">
        <f t="shared" si="4"/>
        <v>30746.6</v>
      </c>
      <c r="L8" s="17">
        <f t="shared" si="4"/>
        <v>30746.6</v>
      </c>
      <c r="M8" s="17">
        <f t="shared" si="4"/>
        <v>30746.6</v>
      </c>
      <c r="N8" s="13"/>
      <c r="O8" s="13"/>
      <c r="P8" s="13"/>
    </row>
    <row r="9" spans="1:16" x14ac:dyDescent="0.2">
      <c r="A9" t="s">
        <v>135</v>
      </c>
      <c r="C9" s="59"/>
      <c r="D9" s="16"/>
      <c r="E9" s="16"/>
      <c r="F9" s="16"/>
      <c r="G9" s="16"/>
      <c r="H9" s="27"/>
      <c r="I9" s="16">
        <f>-I89</f>
        <v>-8140</v>
      </c>
      <c r="J9" s="16">
        <f t="shared" ref="J9:M9" si="5">-J89</f>
        <v>-8140</v>
      </c>
      <c r="K9" s="16">
        <f t="shared" si="5"/>
        <v>-8140</v>
      </c>
      <c r="L9" s="16">
        <f t="shared" si="5"/>
        <v>-8140</v>
      </c>
      <c r="M9" s="16">
        <f t="shared" si="5"/>
        <v>-8140</v>
      </c>
      <c r="N9" s="5"/>
      <c r="O9" s="5"/>
      <c r="P9" s="5"/>
    </row>
    <row r="10" spans="1:16" x14ac:dyDescent="0.2">
      <c r="A10" t="s">
        <v>136</v>
      </c>
      <c r="C10" s="59"/>
      <c r="D10" s="16"/>
      <c r="E10" s="16"/>
      <c r="F10" s="16"/>
      <c r="G10" s="16"/>
      <c r="H10" s="27"/>
      <c r="I10" s="16">
        <f>-I90</f>
        <v>0</v>
      </c>
      <c r="J10" s="16">
        <f>-J90</f>
        <v>0</v>
      </c>
      <c r="K10" s="16">
        <f>-K90</f>
        <v>0</v>
      </c>
      <c r="L10" s="16">
        <f>-L90</f>
        <v>0</v>
      </c>
      <c r="M10" s="16">
        <f>-M90</f>
        <v>0</v>
      </c>
      <c r="N10" s="5"/>
      <c r="O10" s="5"/>
      <c r="P10" s="5"/>
    </row>
    <row r="11" spans="1:16" s="12" customFormat="1" x14ac:dyDescent="0.2">
      <c r="A11" s="12" t="s">
        <v>132</v>
      </c>
      <c r="C11" s="60"/>
      <c r="D11" s="17"/>
      <c r="E11" s="17"/>
      <c r="F11" s="17"/>
      <c r="G11" s="17"/>
      <c r="H11" s="17"/>
      <c r="I11" s="17">
        <f>I8+I9+I10</f>
        <v>22606.6</v>
      </c>
      <c r="J11" s="17">
        <f>J8+J9+J10</f>
        <v>22606.6</v>
      </c>
      <c r="K11" s="17">
        <f>K8+K9+K10</f>
        <v>22606.6</v>
      </c>
      <c r="L11" s="17">
        <f>L8+L9+L10</f>
        <v>22606.6</v>
      </c>
      <c r="M11" s="17">
        <f>M8+M9+M10</f>
        <v>22606.6</v>
      </c>
      <c r="N11" s="13"/>
      <c r="O11" s="13"/>
      <c r="P11" s="13"/>
    </row>
    <row r="12" spans="1:16" x14ac:dyDescent="0.2">
      <c r="A12" t="s">
        <v>21</v>
      </c>
      <c r="C12" s="59"/>
      <c r="D12" s="16"/>
      <c r="E12" s="16"/>
      <c r="F12" s="16"/>
      <c r="G12" s="16"/>
      <c r="H12" s="27"/>
      <c r="I12" s="16">
        <f>+IF(I11&gt;0,-Legislation!B25*'Income and Tax'!I11,0)</f>
        <v>-4521.32</v>
      </c>
      <c r="J12" s="16">
        <f>+IF(J11&gt;0,-Legislation!C25*'Income and Tax'!J11,0)</f>
        <v>-4295.2539999999999</v>
      </c>
      <c r="K12" s="16">
        <f>+IF(K11&gt;0,-Legislation!D25*'Income and Tax'!K11,0)</f>
        <v>-4295.2539999999999</v>
      </c>
      <c r="L12" s="16">
        <f>+IF(L11&gt;0,-Legislation!E25*'Income and Tax'!L11,0)</f>
        <v>-4295.2539999999999</v>
      </c>
      <c r="M12" s="16">
        <f>+IF(M11&gt;0,-Legislation!F25*'Income and Tax'!M11,0)</f>
        <v>-4069.1879999999996</v>
      </c>
      <c r="N12" s="5"/>
      <c r="O12" s="5"/>
      <c r="P12" s="5"/>
    </row>
    <row r="13" spans="1:16" s="12" customFormat="1" x14ac:dyDescent="0.2">
      <c r="A13" s="12" t="s">
        <v>22</v>
      </c>
      <c r="C13" s="60"/>
      <c r="D13" s="17"/>
      <c r="E13" s="17"/>
      <c r="F13" s="17"/>
      <c r="G13" s="17"/>
      <c r="H13" s="17"/>
      <c r="I13" s="17">
        <f>I11+I12</f>
        <v>18085.28</v>
      </c>
      <c r="J13" s="17">
        <f t="shared" ref="J13:M13" si="6">J11+J12</f>
        <v>18311.345999999998</v>
      </c>
      <c r="K13" s="17">
        <f t="shared" si="6"/>
        <v>18311.345999999998</v>
      </c>
      <c r="L13" s="17">
        <f t="shared" si="6"/>
        <v>18311.345999999998</v>
      </c>
      <c r="M13" s="17">
        <f t="shared" si="6"/>
        <v>18537.412</v>
      </c>
      <c r="N13" s="13"/>
      <c r="O13" s="13"/>
      <c r="P13" s="13"/>
    </row>
    <row r="14" spans="1:16" x14ac:dyDescent="0.2">
      <c r="A14" t="s">
        <v>65</v>
      </c>
      <c r="B14" s="92">
        <f>Summary!E14</f>
        <v>0.85</v>
      </c>
      <c r="C14" s="59"/>
      <c r="D14" s="16"/>
      <c r="E14" s="16"/>
      <c r="F14" s="16"/>
      <c r="G14" s="16"/>
      <c r="I14" s="16">
        <f>-$B14*IF('Income and Tax'!I13&gt;0,I13,0)</f>
        <v>-15372.487999999999</v>
      </c>
      <c r="J14" s="16">
        <f>-$B14*IF('Income and Tax'!J13&gt;0,J13,0)</f>
        <v>-15564.644099999998</v>
      </c>
      <c r="K14" s="16">
        <f>-$B14*IF('Income and Tax'!K13&gt;0,K13,0)</f>
        <v>-15564.644099999998</v>
      </c>
      <c r="L14" s="16">
        <f>-$B14*IF('Income and Tax'!L13&gt;0,L13,0)</f>
        <v>-15564.644099999998</v>
      </c>
      <c r="M14" s="16">
        <f>-$B14*IF('Income and Tax'!M13&gt;0,M13,0)</f>
        <v>-15756.8002</v>
      </c>
      <c r="N14" s="5"/>
      <c r="O14" s="35" t="str">
        <f>+IF(B14&gt;1,"Error - cell b11 should be less than or equal to 100%","")</f>
        <v/>
      </c>
      <c r="P14" s="5"/>
    </row>
    <row r="15" spans="1:16" s="12" customFormat="1" x14ac:dyDescent="0.2">
      <c r="A15" s="12" t="s">
        <v>23</v>
      </c>
      <c r="C15" s="60"/>
      <c r="D15" s="17"/>
      <c r="E15" s="17"/>
      <c r="F15" s="17"/>
      <c r="G15" s="17"/>
      <c r="H15" s="17"/>
      <c r="I15" s="17">
        <f>I13+I14</f>
        <v>2712.7919999999995</v>
      </c>
      <c r="J15" s="17">
        <f t="shared" ref="J15:M15" si="7">J13+J14</f>
        <v>2746.7019</v>
      </c>
      <c r="K15" s="17">
        <f t="shared" si="7"/>
        <v>2746.7019</v>
      </c>
      <c r="L15" s="17">
        <f t="shared" si="7"/>
        <v>2746.7019</v>
      </c>
      <c r="M15" s="17">
        <f t="shared" si="7"/>
        <v>2780.6118000000006</v>
      </c>
      <c r="N15" s="13"/>
      <c r="O15" s="13"/>
      <c r="P15" s="13"/>
    </row>
    <row r="16" spans="1:16" x14ac:dyDescent="0.2">
      <c r="C16" s="59"/>
      <c r="D16" s="16"/>
      <c r="E16" s="16"/>
      <c r="F16" s="16"/>
      <c r="G16" s="16"/>
      <c r="H16" s="27"/>
      <c r="I16" s="16"/>
      <c r="J16" s="16"/>
      <c r="K16" s="16"/>
      <c r="L16" s="16"/>
      <c r="M16" s="16"/>
      <c r="N16" s="5"/>
      <c r="O16" s="5"/>
      <c r="P16" s="5"/>
    </row>
    <row r="17" spans="1:16" ht="18.75" thickBot="1" x14ac:dyDescent="0.3">
      <c r="A17" s="10" t="s">
        <v>34</v>
      </c>
      <c r="B17" s="10"/>
      <c r="C17" s="59"/>
      <c r="D17" s="16"/>
      <c r="E17" s="16"/>
      <c r="F17" s="16"/>
      <c r="G17" s="16"/>
      <c r="H17" s="27"/>
      <c r="I17" s="16"/>
      <c r="J17" s="16"/>
      <c r="K17" s="16"/>
      <c r="L17" s="16"/>
      <c r="M17" s="16"/>
      <c r="N17" s="5"/>
      <c r="O17" s="5"/>
      <c r="P17" s="5"/>
    </row>
    <row r="18" spans="1:16" ht="14.25" thickTop="1" thickBot="1" x14ac:dyDescent="0.25">
      <c r="A18" t="s">
        <v>138</v>
      </c>
      <c r="C18" s="58">
        <f>Summary!E9</f>
        <v>0</v>
      </c>
      <c r="D18" s="51">
        <f>C18</f>
        <v>0</v>
      </c>
      <c r="E18" s="51">
        <f t="shared" ref="E18:G18" si="8">D18</f>
        <v>0</v>
      </c>
      <c r="F18" s="51">
        <f t="shared" si="8"/>
        <v>0</v>
      </c>
      <c r="G18" s="51">
        <f t="shared" si="8"/>
        <v>0</v>
      </c>
      <c r="H18" s="52"/>
      <c r="I18" s="51">
        <f t="shared" ref="I18:M19" si="9">C18</f>
        <v>0</v>
      </c>
      <c r="J18" s="51">
        <f t="shared" si="9"/>
        <v>0</v>
      </c>
      <c r="K18" s="51">
        <f t="shared" si="9"/>
        <v>0</v>
      </c>
      <c r="L18" s="51">
        <f t="shared" si="9"/>
        <v>0</v>
      </c>
      <c r="M18" s="51">
        <f t="shared" si="9"/>
        <v>0</v>
      </c>
      <c r="N18" s="5"/>
      <c r="O18" s="5"/>
      <c r="P18" s="5"/>
    </row>
    <row r="19" spans="1:16" ht="14.25" thickTop="1" thickBot="1" x14ac:dyDescent="0.25">
      <c r="A19" t="s">
        <v>117</v>
      </c>
      <c r="C19" s="58">
        <f>Summary!E10</f>
        <v>1000</v>
      </c>
      <c r="D19" s="51">
        <f>C19</f>
        <v>1000</v>
      </c>
      <c r="E19" s="51">
        <f t="shared" ref="E19:G19" si="10">D19</f>
        <v>1000</v>
      </c>
      <c r="F19" s="51">
        <f t="shared" si="10"/>
        <v>1000</v>
      </c>
      <c r="G19" s="51">
        <f t="shared" si="10"/>
        <v>1000</v>
      </c>
      <c r="H19" s="52"/>
      <c r="I19" s="51">
        <f t="shared" si="9"/>
        <v>1000</v>
      </c>
      <c r="J19" s="51">
        <f t="shared" si="9"/>
        <v>1000</v>
      </c>
      <c r="K19" s="51">
        <f t="shared" si="9"/>
        <v>1000</v>
      </c>
      <c r="L19" s="51">
        <f t="shared" si="9"/>
        <v>1000</v>
      </c>
      <c r="M19" s="51">
        <f t="shared" si="9"/>
        <v>1000</v>
      </c>
      <c r="N19" s="5"/>
      <c r="O19" s="5"/>
      <c r="P19" s="5"/>
    </row>
    <row r="20" spans="1:16" ht="13.5" thickTop="1" x14ac:dyDescent="0.2">
      <c r="A20" t="s">
        <v>25</v>
      </c>
      <c r="C20" s="59">
        <f>C6-Legislation!B16*'Income and Tax'!C5</f>
        <v>41680</v>
      </c>
      <c r="D20" s="16">
        <f>D6-Legislation!C16*'Income and Tax'!D5</f>
        <v>66680</v>
      </c>
      <c r="E20" s="16">
        <f>E6-Legislation!D16*'Income and Tax'!E5</f>
        <v>91680</v>
      </c>
      <c r="F20" s="16">
        <f>F6-Legislation!E16*'Income and Tax'!F5</f>
        <v>116680</v>
      </c>
      <c r="G20" s="16">
        <f>G6-Legislation!F16*'Income and Tax'!G5</f>
        <v>141680</v>
      </c>
      <c r="H20" s="27"/>
      <c r="I20" s="16"/>
      <c r="J20" s="16"/>
      <c r="K20" s="16"/>
      <c r="L20" s="16"/>
      <c r="M20" s="16"/>
      <c r="N20" s="5"/>
      <c r="O20" s="5"/>
      <c r="P20" s="5"/>
    </row>
    <row r="21" spans="1:16" x14ac:dyDescent="0.2">
      <c r="A21" t="s">
        <v>142</v>
      </c>
      <c r="C21" s="59"/>
      <c r="D21" s="16"/>
      <c r="E21" s="16"/>
      <c r="F21" s="16"/>
      <c r="G21" s="16"/>
      <c r="H21" s="27"/>
      <c r="I21" s="16">
        <f>-I9</f>
        <v>8140</v>
      </c>
      <c r="J21" s="16">
        <f t="shared" ref="J21:M21" si="11">-J9</f>
        <v>8140</v>
      </c>
      <c r="K21" s="16">
        <f t="shared" si="11"/>
        <v>8140</v>
      </c>
      <c r="L21" s="16">
        <f t="shared" si="11"/>
        <v>8140</v>
      </c>
      <c r="M21" s="16">
        <f t="shared" si="11"/>
        <v>8140</v>
      </c>
      <c r="N21" s="5"/>
      <c r="O21" s="5"/>
      <c r="P21" s="5"/>
    </row>
    <row r="22" spans="1:16" x14ac:dyDescent="0.2">
      <c r="A22" t="s">
        <v>26</v>
      </c>
      <c r="C22" s="59"/>
      <c r="D22" s="16"/>
      <c r="E22" s="16"/>
      <c r="F22" s="16"/>
      <c r="G22" s="16"/>
      <c r="H22" s="27"/>
      <c r="I22" s="16">
        <f>-I14</f>
        <v>15372.487999999999</v>
      </c>
      <c r="J22" s="16">
        <f t="shared" ref="J22:M22" si="12">-J14</f>
        <v>15564.644099999998</v>
      </c>
      <c r="K22" s="16">
        <f t="shared" si="12"/>
        <v>15564.644099999998</v>
      </c>
      <c r="L22" s="16">
        <f t="shared" si="12"/>
        <v>15564.644099999998</v>
      </c>
      <c r="M22" s="16">
        <f t="shared" si="12"/>
        <v>15756.8002</v>
      </c>
      <c r="N22" s="5"/>
      <c r="O22" s="5"/>
      <c r="P22" s="5"/>
    </row>
    <row r="23" spans="1:16" s="12" customFormat="1" x14ac:dyDescent="0.2">
      <c r="A23" s="12" t="s">
        <v>27</v>
      </c>
      <c r="C23" s="60">
        <f>SUM(C18:C22)</f>
        <v>42680</v>
      </c>
      <c r="D23" s="17">
        <f t="shared" ref="D23:M23" si="13">SUM(D18:D22)</f>
        <v>67680</v>
      </c>
      <c r="E23" s="17">
        <f t="shared" si="13"/>
        <v>92680</v>
      </c>
      <c r="F23" s="17">
        <f t="shared" si="13"/>
        <v>117680</v>
      </c>
      <c r="G23" s="17">
        <f t="shared" si="13"/>
        <v>142680</v>
      </c>
      <c r="H23" s="17"/>
      <c r="I23" s="17">
        <f t="shared" si="13"/>
        <v>24512.487999999998</v>
      </c>
      <c r="J23" s="17">
        <f t="shared" si="13"/>
        <v>24704.644099999998</v>
      </c>
      <c r="K23" s="17">
        <f t="shared" si="13"/>
        <v>24704.644099999998</v>
      </c>
      <c r="L23" s="17">
        <f t="shared" si="13"/>
        <v>24704.644099999998</v>
      </c>
      <c r="M23" s="17">
        <f t="shared" si="13"/>
        <v>24896.800199999998</v>
      </c>
    </row>
    <row r="24" spans="1:16" x14ac:dyDescent="0.2">
      <c r="C24" s="59"/>
      <c r="D24" s="16"/>
      <c r="E24" s="16"/>
      <c r="F24" s="16"/>
      <c r="G24" s="16"/>
      <c r="H24" s="27"/>
      <c r="I24" s="16"/>
      <c r="J24" s="16"/>
      <c r="K24" s="16"/>
      <c r="L24" s="16"/>
      <c r="M24" s="16"/>
      <c r="N24" s="5"/>
      <c r="O24" s="5"/>
      <c r="P24" s="5"/>
    </row>
    <row r="25" spans="1:16" x14ac:dyDescent="0.2">
      <c r="A25" t="s">
        <v>28</v>
      </c>
      <c r="C25" s="59">
        <f>C48</f>
        <v>11693.5</v>
      </c>
      <c r="D25" s="59">
        <f>D48</f>
        <v>15712</v>
      </c>
      <c r="E25" s="59">
        <f>E48</f>
        <v>25712</v>
      </c>
      <c r="F25" s="59">
        <f>F48</f>
        <v>39248</v>
      </c>
      <c r="G25" s="59">
        <f>G48</f>
        <v>50192</v>
      </c>
      <c r="H25" s="59"/>
      <c r="I25" s="59">
        <f>I48</f>
        <v>1013.4365999999998</v>
      </c>
      <c r="J25" s="59">
        <f>J48</f>
        <v>402.34830749999981</v>
      </c>
      <c r="K25" s="59">
        <f>K48</f>
        <v>402.34830749999981</v>
      </c>
      <c r="L25" s="59">
        <f>L48</f>
        <v>402.34830749999981</v>
      </c>
      <c r="M25" s="59">
        <f>M48</f>
        <v>416.76001499999984</v>
      </c>
      <c r="N25" s="5"/>
      <c r="O25" s="5"/>
      <c r="P25" s="5"/>
    </row>
    <row r="26" spans="1:16" x14ac:dyDescent="0.2">
      <c r="A26" t="s">
        <v>29</v>
      </c>
      <c r="C26" s="59">
        <f>IF(-$A64*(C6-C20)&gt;C25,-C25,$A64*(C6-C20))</f>
        <v>0</v>
      </c>
      <c r="D26" s="59">
        <f>IF(-$A64*(D6-D20)&gt;D25,-D25,$A64*(D6-D20))</f>
        <v>-5000</v>
      </c>
      <c r="E26" s="59">
        <f>IF(-$A64*(E6-E20)&gt;E25,-E25,$A64*(E6-E20))</f>
        <v>-10000</v>
      </c>
      <c r="F26" s="59">
        <f>IF(-$A64*(F6-F20)&gt;F25,-F25,$A64*(F6-F20))</f>
        <v>-15000</v>
      </c>
      <c r="G26" s="59">
        <f>IF(-$A64*(G6-G20)&gt;G25,-G25,$A64*(G6-G20))</f>
        <v>-20000</v>
      </c>
      <c r="H26" s="27"/>
      <c r="I26" s="59">
        <f>IF(-$A64*(I6-I20)&gt;I25,-I25,$A64*(I6-I20))</f>
        <v>0</v>
      </c>
      <c r="J26" s="59">
        <f>IF(-$A64*(J6-J20)&gt;J25,-J25,$A64*(J6-J20))</f>
        <v>0</v>
      </c>
      <c r="K26" s="59">
        <f>IF(-$A64*(K6-K20)&gt;K25,-K25,$A64*(K6-K20))</f>
        <v>0</v>
      </c>
      <c r="L26" s="59">
        <f>IF(-$A64*(L6-L20)&gt;L25,-L25,$A64*(L6-L20))</f>
        <v>0</v>
      </c>
      <c r="M26" s="59">
        <f>IF(-$A64*(M6-M20)&gt;M25,-M25,$A64*(M6-M20))</f>
        <v>0</v>
      </c>
      <c r="N26" s="5"/>
      <c r="O26" s="5"/>
      <c r="P26" s="5"/>
    </row>
    <row r="27" spans="1:16" s="12" customFormat="1" x14ac:dyDescent="0.2">
      <c r="A27" s="12" t="s">
        <v>30</v>
      </c>
      <c r="C27" s="60">
        <f>SUM(C25:C26)</f>
        <v>11693.5</v>
      </c>
      <c r="D27" s="17">
        <f t="shared" ref="D27:G27" si="14">SUM(D25:D26)</f>
        <v>10712</v>
      </c>
      <c r="E27" s="17">
        <f t="shared" si="14"/>
        <v>15712</v>
      </c>
      <c r="F27" s="17">
        <f t="shared" si="14"/>
        <v>24248</v>
      </c>
      <c r="G27" s="17">
        <f t="shared" si="14"/>
        <v>30192</v>
      </c>
      <c r="H27" s="17"/>
      <c r="I27" s="17">
        <f t="shared" ref="I27:M27" si="15">SUM(I25:I26)</f>
        <v>1013.4365999999998</v>
      </c>
      <c r="J27" s="17">
        <f t="shared" si="15"/>
        <v>402.34830749999981</v>
      </c>
      <c r="K27" s="17">
        <f t="shared" si="15"/>
        <v>402.34830749999981</v>
      </c>
      <c r="L27" s="17">
        <f t="shared" si="15"/>
        <v>402.34830749999981</v>
      </c>
      <c r="M27" s="17">
        <f t="shared" si="15"/>
        <v>416.76001499999984</v>
      </c>
      <c r="N27" s="13"/>
      <c r="O27" s="13"/>
      <c r="P27" s="13"/>
    </row>
    <row r="28" spans="1:16" x14ac:dyDescent="0.2">
      <c r="C28" s="59"/>
      <c r="D28" s="16"/>
      <c r="E28" s="16"/>
      <c r="F28" s="16"/>
      <c r="G28" s="16"/>
      <c r="H28" s="27"/>
      <c r="I28" s="16"/>
      <c r="J28" s="16"/>
      <c r="K28" s="16"/>
      <c r="L28" s="16"/>
      <c r="M28" s="16"/>
      <c r="N28" s="5"/>
      <c r="O28" s="5"/>
      <c r="P28" s="5"/>
    </row>
    <row r="29" spans="1:16" s="14" customFormat="1" ht="15" x14ac:dyDescent="0.2">
      <c r="A29" s="38" t="s">
        <v>35</v>
      </c>
      <c r="B29"/>
      <c r="C29" s="61">
        <f>C6+C18+C19-C27</f>
        <v>30986.5</v>
      </c>
      <c r="D29" s="39">
        <f>D6+D18+D19-D27</f>
        <v>31968</v>
      </c>
      <c r="E29" s="39">
        <f>E6+E18+E19-E27</f>
        <v>26968</v>
      </c>
      <c r="F29" s="39">
        <f>F6+F18+F19-F27</f>
        <v>18432</v>
      </c>
      <c r="G29" s="39">
        <f>G6+G18+G19-G27</f>
        <v>12488</v>
      </c>
      <c r="H29" s="30"/>
      <c r="I29" s="39">
        <f>I6+I18+I19-I27+I21+I22</f>
        <v>23499.0514</v>
      </c>
      <c r="J29" s="39">
        <f t="shared" ref="J29:M29" si="16">J6+J18+J19-J27+J21+J22</f>
        <v>24302.295792499997</v>
      </c>
      <c r="K29" s="39">
        <f t="shared" si="16"/>
        <v>24302.295792499997</v>
      </c>
      <c r="L29" s="39">
        <f t="shared" si="16"/>
        <v>24302.295792499997</v>
      </c>
      <c r="M29" s="39">
        <f t="shared" si="16"/>
        <v>24480.040184999998</v>
      </c>
      <c r="N29" s="15"/>
    </row>
    <row r="30" spans="1:16" s="14" customFormat="1" ht="15" x14ac:dyDescent="0.2">
      <c r="B30"/>
      <c r="C30" s="62"/>
      <c r="D30" s="18"/>
      <c r="E30" s="18"/>
      <c r="F30" s="18"/>
      <c r="G30" s="18"/>
      <c r="H30" s="17"/>
      <c r="I30" s="18"/>
      <c r="J30" s="18"/>
      <c r="K30" s="18"/>
      <c r="L30" s="18"/>
      <c r="M30" s="18"/>
      <c r="N30" s="15"/>
    </row>
    <row r="31" spans="1:16" s="14" customFormat="1" ht="15" x14ac:dyDescent="0.2">
      <c r="B31"/>
      <c r="C31" s="62"/>
      <c r="D31" s="18"/>
      <c r="E31" s="18"/>
      <c r="F31" s="18"/>
      <c r="G31" s="19" t="s">
        <v>143</v>
      </c>
      <c r="H31" s="17"/>
      <c r="I31" s="18">
        <f>-I10</f>
        <v>0</v>
      </c>
      <c r="J31" s="18">
        <f t="shared" ref="J31:M31" si="17">-J10</f>
        <v>0</v>
      </c>
      <c r="K31" s="18">
        <f t="shared" si="17"/>
        <v>0</v>
      </c>
      <c r="L31" s="18">
        <f t="shared" si="17"/>
        <v>0</v>
      </c>
      <c r="M31" s="18">
        <f t="shared" si="17"/>
        <v>0</v>
      </c>
      <c r="N31" s="15"/>
    </row>
    <row r="32" spans="1:16" s="14" customFormat="1" ht="15" x14ac:dyDescent="0.2">
      <c r="B32"/>
      <c r="C32" s="62"/>
      <c r="D32" s="18"/>
      <c r="E32" s="18"/>
      <c r="F32" s="18"/>
      <c r="G32" s="18"/>
      <c r="H32" s="17"/>
      <c r="I32" s="18"/>
      <c r="J32" s="18"/>
      <c r="K32" s="18"/>
      <c r="L32" s="18"/>
      <c r="M32" s="18"/>
      <c r="N32" s="15"/>
    </row>
    <row r="33" spans="1:16" s="14" customFormat="1" ht="15" x14ac:dyDescent="0.2">
      <c r="A33" s="36" t="str">
        <f>O4</f>
        <v/>
      </c>
      <c r="B33"/>
      <c r="C33" s="62"/>
      <c r="D33" s="18"/>
      <c r="E33" s="18"/>
      <c r="F33" s="18"/>
      <c r="G33" s="25" t="s">
        <v>62</v>
      </c>
      <c r="H33" s="28">
        <f>1-B14</f>
        <v>0.15000000000000002</v>
      </c>
      <c r="I33" s="18">
        <f>I15</f>
        <v>2712.7919999999995</v>
      </c>
      <c r="J33" s="18">
        <f>J15</f>
        <v>2746.7019</v>
      </c>
      <c r="K33" s="18">
        <f>K15</f>
        <v>2746.7019</v>
      </c>
      <c r="L33" s="18">
        <f>L15</f>
        <v>2746.7019</v>
      </c>
      <c r="M33" s="18">
        <f>M15</f>
        <v>2780.6118000000006</v>
      </c>
      <c r="N33" s="15"/>
    </row>
    <row r="34" spans="1:16" s="14" customFormat="1" ht="15" x14ac:dyDescent="0.2">
      <c r="A34" s="36" t="str">
        <f>O5</f>
        <v/>
      </c>
      <c r="B34"/>
      <c r="C34" s="62"/>
      <c r="D34" s="18"/>
      <c r="E34" s="18"/>
      <c r="F34" s="18"/>
      <c r="G34" s="18"/>
      <c r="H34" s="29"/>
      <c r="I34" s="18"/>
      <c r="J34" s="18"/>
      <c r="K34" s="18"/>
      <c r="L34" s="18"/>
      <c r="M34" s="18"/>
      <c r="N34" s="15"/>
    </row>
    <row r="35" spans="1:16" s="14" customFormat="1" ht="15" x14ac:dyDescent="0.2">
      <c r="A35" s="15" t="str">
        <f>O14</f>
        <v/>
      </c>
      <c r="B35"/>
      <c r="C35" s="62"/>
      <c r="D35" s="18"/>
      <c r="E35" s="18"/>
      <c r="F35" s="18"/>
      <c r="G35" s="19" t="s">
        <v>83</v>
      </c>
      <c r="H35" s="29"/>
      <c r="I35" s="18">
        <f>I29+I33+I31</f>
        <v>26211.843399999998</v>
      </c>
      <c r="J35" s="18">
        <f t="shared" ref="J35:M35" si="18">J29+J33+J31</f>
        <v>27048.997692499997</v>
      </c>
      <c r="K35" s="18">
        <f t="shared" si="18"/>
        <v>27048.997692499997</v>
      </c>
      <c r="L35" s="18">
        <f t="shared" si="18"/>
        <v>27048.997692499997</v>
      </c>
      <c r="M35" s="18">
        <f t="shared" si="18"/>
        <v>27260.651984999997</v>
      </c>
      <c r="N35" s="15"/>
    </row>
    <row r="36" spans="1:16" s="14" customFormat="1" ht="15" x14ac:dyDescent="0.2">
      <c r="B36"/>
      <c r="C36" s="62"/>
      <c r="D36" s="18"/>
      <c r="E36" s="18"/>
      <c r="F36" s="18"/>
      <c r="G36" s="19"/>
      <c r="H36" s="29"/>
      <c r="I36" s="18"/>
      <c r="J36" s="18"/>
      <c r="K36" s="18"/>
      <c r="L36" s="18"/>
      <c r="M36" s="18"/>
      <c r="N36" s="15"/>
    </row>
    <row r="37" spans="1:16" s="14" customFormat="1" ht="15" x14ac:dyDescent="0.2">
      <c r="B37"/>
      <c r="C37" s="62"/>
      <c r="D37" s="18"/>
      <c r="E37" s="18"/>
      <c r="F37" s="18"/>
      <c r="G37" s="18"/>
      <c r="H37" s="29"/>
      <c r="I37" s="18"/>
      <c r="J37" s="18"/>
      <c r="K37" s="18"/>
      <c r="L37" s="18"/>
      <c r="M37" s="18"/>
      <c r="N37" s="15"/>
    </row>
    <row r="38" spans="1:16" s="14" customFormat="1" ht="15" x14ac:dyDescent="0.2">
      <c r="A38" s="38" t="s">
        <v>43</v>
      </c>
      <c r="B38"/>
      <c r="C38" s="61">
        <f>C27</f>
        <v>11693.5</v>
      </c>
      <c r="D38" s="39">
        <f>D27</f>
        <v>10712</v>
      </c>
      <c r="E38" s="39">
        <f>E27</f>
        <v>15712</v>
      </c>
      <c r="F38" s="39">
        <f>F27</f>
        <v>24248</v>
      </c>
      <c r="G38" s="39">
        <f>G27</f>
        <v>30192</v>
      </c>
      <c r="H38" s="30"/>
      <c r="I38" s="39">
        <f>-I12+I25</f>
        <v>5534.7565999999997</v>
      </c>
      <c r="J38" s="39">
        <f>-J12+J25</f>
        <v>4697.6023074999994</v>
      </c>
      <c r="K38" s="39">
        <f>-K12+K25</f>
        <v>4697.6023074999994</v>
      </c>
      <c r="L38" s="39">
        <f>-L12+L25</f>
        <v>4697.6023074999994</v>
      </c>
      <c r="M38" s="39">
        <f>-M12+M25</f>
        <v>4485.9480149999999</v>
      </c>
      <c r="N38" s="15"/>
      <c r="O38" s="15"/>
      <c r="P38" s="15"/>
    </row>
    <row r="39" spans="1:16" s="14" customFormat="1" ht="15" x14ac:dyDescent="0.2">
      <c r="B39"/>
      <c r="C39" s="62"/>
      <c r="D39" s="18"/>
      <c r="E39" s="18"/>
      <c r="F39" s="18"/>
      <c r="G39" s="18"/>
      <c r="H39" s="29"/>
      <c r="I39" s="18"/>
      <c r="J39" s="18"/>
      <c r="K39" s="18"/>
      <c r="L39" s="18"/>
      <c r="M39" s="18"/>
      <c r="N39" s="15"/>
      <c r="O39" s="15"/>
      <c r="P39" s="15"/>
    </row>
    <row r="40" spans="1:16" s="14" customFormat="1" ht="15" x14ac:dyDescent="0.2">
      <c r="C40" s="62"/>
      <c r="D40" s="18"/>
      <c r="E40" s="18"/>
      <c r="F40" s="18"/>
      <c r="G40" s="18"/>
      <c r="H40" s="29"/>
      <c r="I40" s="18"/>
      <c r="J40" s="18"/>
      <c r="K40" s="18"/>
      <c r="L40" s="18"/>
      <c r="M40" s="18"/>
      <c r="N40" s="15"/>
      <c r="O40" s="15"/>
      <c r="P40" s="15"/>
    </row>
    <row r="41" spans="1:16" s="14" customFormat="1" ht="12" customHeight="1" x14ac:dyDescent="0.2">
      <c r="A41" s="14" t="s">
        <v>109</v>
      </c>
      <c r="C41" s="62"/>
      <c r="D41" s="18"/>
      <c r="E41" s="18"/>
      <c r="F41" s="18"/>
      <c r="G41" s="18"/>
      <c r="H41" s="29"/>
      <c r="I41" s="18"/>
      <c r="J41" s="18"/>
      <c r="K41" s="18"/>
      <c r="L41" s="18"/>
      <c r="M41" s="18"/>
      <c r="N41" s="15"/>
      <c r="O41" s="15"/>
      <c r="P41" s="15"/>
    </row>
    <row r="42" spans="1:16" s="14" customFormat="1" ht="12" customHeight="1" x14ac:dyDescent="0.2">
      <c r="C42" s="62"/>
      <c r="D42" s="18"/>
      <c r="E42" s="18"/>
      <c r="F42" s="18"/>
      <c r="G42" s="18"/>
      <c r="H42" s="29"/>
      <c r="I42" s="18"/>
      <c r="J42" s="18"/>
      <c r="K42" s="18"/>
      <c r="L42" s="18"/>
      <c r="M42" s="18"/>
      <c r="N42" s="15"/>
      <c r="O42" s="15"/>
      <c r="P42" s="15"/>
    </row>
    <row r="43" spans="1:16" ht="12" hidden="1" customHeight="1" x14ac:dyDescent="0.2">
      <c r="A43" s="40" t="s">
        <v>45</v>
      </c>
      <c r="B43" s="40"/>
      <c r="C43" s="41"/>
      <c r="D43" s="41"/>
      <c r="E43" s="41"/>
      <c r="F43" s="41"/>
      <c r="G43" s="41"/>
      <c r="H43" s="42"/>
      <c r="I43" s="41"/>
      <c r="J43" s="41"/>
      <c r="K43" s="41"/>
      <c r="L43" s="41"/>
      <c r="M43" s="41"/>
      <c r="N43" s="5"/>
      <c r="O43" s="5"/>
      <c r="P43" s="5"/>
    </row>
    <row r="44" spans="1:16" ht="12" hidden="1" customHeight="1" x14ac:dyDescent="0.2">
      <c r="A44" t="s">
        <v>113</v>
      </c>
      <c r="N44" s="5"/>
      <c r="O44" s="5"/>
      <c r="P44" s="5"/>
    </row>
    <row r="45" spans="1:16" ht="12" hidden="1" customHeight="1" x14ac:dyDescent="0.2">
      <c r="A45" s="3" t="s">
        <v>123</v>
      </c>
      <c r="C45" s="63">
        <f>C59</f>
        <v>9128</v>
      </c>
      <c r="D45" s="63">
        <f>D59</f>
        <v>15712</v>
      </c>
      <c r="E45" s="63">
        <f>E59</f>
        <v>25712</v>
      </c>
      <c r="F45" s="63">
        <f>F59</f>
        <v>39248</v>
      </c>
      <c r="G45" s="63">
        <f>G59</f>
        <v>50192</v>
      </c>
      <c r="H45" s="63"/>
      <c r="I45" s="63">
        <f>I59</f>
        <v>0</v>
      </c>
      <c r="J45" s="63">
        <f>J59</f>
        <v>0</v>
      </c>
      <c r="K45" s="63">
        <f>K59</f>
        <v>0</v>
      </c>
      <c r="L45" s="63">
        <f>L59</f>
        <v>0</v>
      </c>
      <c r="M45" s="63">
        <f>M59</f>
        <v>0</v>
      </c>
      <c r="N45" s="5"/>
      <c r="O45" s="5"/>
      <c r="P45" s="5"/>
    </row>
    <row r="46" spans="1:16" ht="12" hidden="1" customHeight="1" x14ac:dyDescent="0.2">
      <c r="A46" s="3" t="s">
        <v>119</v>
      </c>
      <c r="C46" s="63">
        <f>C139</f>
        <v>2640.5</v>
      </c>
      <c r="D46" s="63">
        <f>D139</f>
        <v>325</v>
      </c>
      <c r="E46" s="63">
        <f>E139</f>
        <v>325</v>
      </c>
      <c r="F46" s="63">
        <f>F139</f>
        <v>325</v>
      </c>
      <c r="G46" s="63">
        <f>G139</f>
        <v>325</v>
      </c>
      <c r="H46" s="63"/>
      <c r="I46" s="63">
        <f>I139</f>
        <v>1013.4365999999998</v>
      </c>
      <c r="J46" s="63">
        <f>J139</f>
        <v>402.34830749999981</v>
      </c>
      <c r="K46" s="63">
        <f>K139</f>
        <v>402.34830749999981</v>
      </c>
      <c r="L46" s="63">
        <f>L139</f>
        <v>402.34830749999981</v>
      </c>
      <c r="M46" s="63">
        <f>M139</f>
        <v>416.76001499999984</v>
      </c>
      <c r="N46" s="5"/>
      <c r="O46" s="5"/>
      <c r="P46" s="5"/>
    </row>
    <row r="47" spans="1:16" ht="12" hidden="1" customHeight="1" x14ac:dyDescent="0.2">
      <c r="A47" s="3" t="s">
        <v>114</v>
      </c>
      <c r="C47" s="63">
        <f>-C189</f>
        <v>-75</v>
      </c>
      <c r="D47" s="63">
        <f>-D189</f>
        <v>-325</v>
      </c>
      <c r="E47" s="63">
        <f>-E189</f>
        <v>-325</v>
      </c>
      <c r="F47" s="63">
        <f>-F189</f>
        <v>-325</v>
      </c>
      <c r="G47" s="63">
        <f>-G189</f>
        <v>-325</v>
      </c>
      <c r="H47" s="63"/>
      <c r="I47" s="63">
        <f>-I189</f>
        <v>0</v>
      </c>
      <c r="J47" s="63">
        <f>-J189</f>
        <v>0</v>
      </c>
      <c r="K47" s="63">
        <f>-K189</f>
        <v>0</v>
      </c>
      <c r="L47" s="63">
        <f>-L189</f>
        <v>0</v>
      </c>
      <c r="M47" s="63">
        <f>-M189</f>
        <v>0</v>
      </c>
      <c r="N47" s="5"/>
      <c r="O47" s="5"/>
      <c r="P47" s="5"/>
    </row>
    <row r="48" spans="1:16" ht="12" hidden="1" customHeight="1" x14ac:dyDescent="0.2">
      <c r="C48" s="63">
        <f>C45+C46+C47</f>
        <v>11693.5</v>
      </c>
      <c r="D48" s="63">
        <f t="shared" ref="D48:M48" si="19">D45+D46+D47</f>
        <v>15712</v>
      </c>
      <c r="E48" s="63">
        <f t="shared" si="19"/>
        <v>25712</v>
      </c>
      <c r="F48" s="63">
        <f t="shared" si="19"/>
        <v>39248</v>
      </c>
      <c r="G48" s="63">
        <f t="shared" si="19"/>
        <v>50192</v>
      </c>
      <c r="H48" s="63"/>
      <c r="I48" s="63">
        <f t="shared" si="19"/>
        <v>1013.4365999999998</v>
      </c>
      <c r="J48" s="63">
        <f t="shared" si="19"/>
        <v>402.34830749999981</v>
      </c>
      <c r="K48" s="63">
        <f t="shared" si="19"/>
        <v>402.34830749999981</v>
      </c>
      <c r="L48" s="63">
        <f t="shared" si="19"/>
        <v>402.34830749999981</v>
      </c>
      <c r="M48" s="63">
        <f t="shared" si="19"/>
        <v>416.76001499999984</v>
      </c>
      <c r="N48" s="5"/>
      <c r="O48" s="5"/>
      <c r="P48" s="5"/>
    </row>
    <row r="49" spans="1:16" ht="12" hidden="1" customHeight="1" x14ac:dyDescent="0.2">
      <c r="A49" s="3" t="s">
        <v>115</v>
      </c>
      <c r="C49" s="59">
        <f>+C26</f>
        <v>0</v>
      </c>
      <c r="D49" s="59">
        <f>+D26</f>
        <v>-5000</v>
      </c>
      <c r="E49" s="59">
        <f>+E26</f>
        <v>-10000</v>
      </c>
      <c r="F49" s="59">
        <f>+F26</f>
        <v>-15000</v>
      </c>
      <c r="G49" s="59">
        <f>+G26</f>
        <v>-20000</v>
      </c>
      <c r="H49" s="59"/>
      <c r="I49" s="59">
        <f>+I26</f>
        <v>0</v>
      </c>
      <c r="J49" s="59">
        <f>+J26</f>
        <v>0</v>
      </c>
      <c r="K49" s="59">
        <f>+K26</f>
        <v>0</v>
      </c>
      <c r="L49" s="59">
        <f>+L26</f>
        <v>0</v>
      </c>
      <c r="M49" s="59">
        <f>+M26</f>
        <v>0</v>
      </c>
      <c r="N49" s="5"/>
      <c r="O49" s="5"/>
      <c r="P49" s="5"/>
    </row>
    <row r="50" spans="1:16" s="12" customFormat="1" ht="12" hidden="1" customHeight="1" x14ac:dyDescent="0.2">
      <c r="C50" s="60">
        <f>C49+C48</f>
        <v>11693.5</v>
      </c>
      <c r="D50" s="60">
        <f t="shared" ref="D50:M50" si="20">D49+D48</f>
        <v>10712</v>
      </c>
      <c r="E50" s="60">
        <f t="shared" si="20"/>
        <v>15712</v>
      </c>
      <c r="F50" s="60">
        <f t="shared" si="20"/>
        <v>24248</v>
      </c>
      <c r="G50" s="60">
        <f t="shared" si="20"/>
        <v>30192</v>
      </c>
      <c r="H50" s="60"/>
      <c r="I50" s="60">
        <f t="shared" si="20"/>
        <v>1013.4365999999998</v>
      </c>
      <c r="J50" s="60">
        <f t="shared" si="20"/>
        <v>402.34830749999981</v>
      </c>
      <c r="K50" s="60">
        <f t="shared" si="20"/>
        <v>402.34830749999981</v>
      </c>
      <c r="L50" s="60">
        <f t="shared" si="20"/>
        <v>402.34830749999981</v>
      </c>
      <c r="M50" s="60">
        <f t="shared" si="20"/>
        <v>416.76001499999984</v>
      </c>
      <c r="N50" s="13"/>
      <c r="O50" s="13"/>
      <c r="P50" s="13"/>
    </row>
    <row r="51" spans="1:16" ht="12" hidden="1" customHeight="1" x14ac:dyDescent="0.2">
      <c r="A51" s="40"/>
      <c r="B51" s="40"/>
      <c r="C51" s="41"/>
      <c r="D51" s="41"/>
      <c r="E51" s="41"/>
      <c r="F51" s="41"/>
      <c r="G51" s="41"/>
      <c r="H51" s="42"/>
      <c r="I51" s="41"/>
      <c r="J51" s="41"/>
      <c r="K51" s="41"/>
      <c r="L51" s="41"/>
      <c r="M51" s="41"/>
      <c r="N51" s="5"/>
      <c r="O51" s="5"/>
      <c r="P51" s="5"/>
    </row>
    <row r="52" spans="1:16" ht="12" hidden="1" customHeight="1" x14ac:dyDescent="0.2">
      <c r="A52" s="93" t="s">
        <v>122</v>
      </c>
      <c r="B52" s="43"/>
      <c r="C52" s="41">
        <f>C18+C20-I9</f>
        <v>49820</v>
      </c>
      <c r="D52" s="41">
        <f>D18+D20</f>
        <v>66680</v>
      </c>
      <c r="E52" s="41">
        <f>E18+E20</f>
        <v>91680</v>
      </c>
      <c r="F52" s="41">
        <f>F18+F20</f>
        <v>116680</v>
      </c>
      <c r="G52" s="41">
        <f>G18+G20</f>
        <v>141680</v>
      </c>
      <c r="H52" s="41"/>
      <c r="I52" s="41">
        <f>I18+I20-I9</f>
        <v>8140</v>
      </c>
      <c r="J52" s="41">
        <f>J18+J20</f>
        <v>0</v>
      </c>
      <c r="K52" s="41">
        <f>K18+K20</f>
        <v>0</v>
      </c>
      <c r="L52" s="41">
        <f>L18+L20</f>
        <v>0</v>
      </c>
      <c r="M52" s="41">
        <f>M18+M20</f>
        <v>0</v>
      </c>
      <c r="N52" s="5"/>
      <c r="O52" s="5"/>
      <c r="P52" s="5"/>
    </row>
    <row r="53" spans="1:16" ht="12" hidden="1" customHeight="1" x14ac:dyDescent="0.2">
      <c r="A53" s="43" t="s">
        <v>121</v>
      </c>
      <c r="B53" s="43"/>
      <c r="C53" s="41"/>
      <c r="D53" s="41"/>
      <c r="E53" s="41"/>
      <c r="F53" s="41"/>
      <c r="G53" s="41"/>
      <c r="H53" s="42"/>
      <c r="I53" s="41"/>
      <c r="J53" s="41"/>
      <c r="K53" s="41"/>
      <c r="L53" s="41"/>
      <c r="M53" s="41"/>
      <c r="N53" s="5"/>
      <c r="O53" s="5"/>
      <c r="P53" s="5"/>
    </row>
    <row r="54" spans="1:16" ht="12" hidden="1" customHeight="1" x14ac:dyDescent="0.2">
      <c r="A54" s="44">
        <f>Legislation!A9</f>
        <v>0</v>
      </c>
      <c r="B54" s="44"/>
      <c r="C54" s="41">
        <v>0</v>
      </c>
      <c r="D54" s="41">
        <f>C54</f>
        <v>0</v>
      </c>
      <c r="E54" s="41">
        <f t="shared" ref="E54:M54" si="21">D54</f>
        <v>0</v>
      </c>
      <c r="F54" s="41">
        <f t="shared" si="21"/>
        <v>0</v>
      </c>
      <c r="G54" s="41">
        <f t="shared" si="21"/>
        <v>0</v>
      </c>
      <c r="H54" s="41"/>
      <c r="I54" s="41">
        <f t="shared" si="21"/>
        <v>0</v>
      </c>
      <c r="J54" s="41">
        <f t="shared" si="21"/>
        <v>0</v>
      </c>
      <c r="K54" s="41">
        <f t="shared" si="21"/>
        <v>0</v>
      </c>
      <c r="L54" s="41">
        <f t="shared" si="21"/>
        <v>0</v>
      </c>
      <c r="M54" s="41">
        <f t="shared" si="21"/>
        <v>0</v>
      </c>
      <c r="N54" s="5"/>
      <c r="O54" s="5"/>
      <c r="P54" s="5"/>
    </row>
    <row r="55" spans="1:16" ht="12" hidden="1" customHeight="1" x14ac:dyDescent="0.2">
      <c r="A55" s="44">
        <f>Legislation!A10</f>
        <v>0.2</v>
      </c>
      <c r="B55" s="44"/>
      <c r="C55" s="41">
        <f>+IF(C$52&gt;C63,C$52-C63,0)*($A55-$A54)</f>
        <v>7764</v>
      </c>
      <c r="D55" s="41">
        <f t="shared" ref="D55:M55" si="22">+IF(D$52&gt;D63,D$52-D63,0)*($A55-$A54)</f>
        <v>11096</v>
      </c>
      <c r="E55" s="41">
        <f t="shared" si="22"/>
        <v>16096</v>
      </c>
      <c r="F55" s="41">
        <f t="shared" si="22"/>
        <v>22864</v>
      </c>
      <c r="G55" s="41">
        <f t="shared" si="22"/>
        <v>28336</v>
      </c>
      <c r="H55" s="41"/>
      <c r="I55" s="41">
        <f t="shared" si="22"/>
        <v>0</v>
      </c>
      <c r="J55" s="41">
        <f t="shared" si="22"/>
        <v>0</v>
      </c>
      <c r="K55" s="41">
        <f t="shared" si="22"/>
        <v>0</v>
      </c>
      <c r="L55" s="41">
        <f t="shared" si="22"/>
        <v>0</v>
      </c>
      <c r="M55" s="41">
        <f t="shared" si="22"/>
        <v>0</v>
      </c>
      <c r="N55" s="5"/>
      <c r="O55" s="5"/>
      <c r="P55" s="5"/>
    </row>
    <row r="56" spans="1:16" ht="12" hidden="1" customHeight="1" x14ac:dyDescent="0.2">
      <c r="A56" s="44">
        <f>Legislation!A11</f>
        <v>0.4</v>
      </c>
      <c r="B56" s="44"/>
      <c r="C56" s="41">
        <f>+IF(C$52&gt;C64,C$52-C64,0)*($A56-$A55)</f>
        <v>1364</v>
      </c>
      <c r="D56" s="41">
        <f t="shared" ref="D56:M56" si="23">+IF(D$52&gt;D64,D$52-D64,0)*($A56-$A55)</f>
        <v>4616</v>
      </c>
      <c r="E56" s="41">
        <f t="shared" si="23"/>
        <v>9616</v>
      </c>
      <c r="F56" s="41">
        <f t="shared" si="23"/>
        <v>16384</v>
      </c>
      <c r="G56" s="41">
        <f t="shared" si="23"/>
        <v>21856</v>
      </c>
      <c r="H56" s="41"/>
      <c r="I56" s="41">
        <f t="shared" si="23"/>
        <v>0</v>
      </c>
      <c r="J56" s="41">
        <f t="shared" si="23"/>
        <v>0</v>
      </c>
      <c r="K56" s="41">
        <f t="shared" si="23"/>
        <v>0</v>
      </c>
      <c r="L56" s="41">
        <f t="shared" si="23"/>
        <v>0</v>
      </c>
      <c r="M56" s="41">
        <f t="shared" si="23"/>
        <v>0</v>
      </c>
      <c r="N56" s="5"/>
      <c r="O56" s="5"/>
      <c r="P56" s="5"/>
    </row>
    <row r="57" spans="1:16" ht="12" hidden="1" customHeight="1" x14ac:dyDescent="0.2">
      <c r="A57" s="44">
        <f>Legislation!A12</f>
        <v>0.45</v>
      </c>
      <c r="B57" s="44"/>
      <c r="C57" s="41">
        <f>+IF(C$52&gt;C65,C$52-C65,0)*($A57-$A56)</f>
        <v>0</v>
      </c>
      <c r="D57" s="41">
        <f t="shared" ref="D57:M57" si="24">+IF(D$52&gt;D65,D$52-D65,0)*($A57-$A56)</f>
        <v>0</v>
      </c>
      <c r="E57" s="41">
        <f t="shared" si="24"/>
        <v>0</v>
      </c>
      <c r="F57" s="41">
        <f t="shared" si="24"/>
        <v>0</v>
      </c>
      <c r="G57" s="41">
        <f t="shared" si="24"/>
        <v>0</v>
      </c>
      <c r="H57" s="41"/>
      <c r="I57" s="41">
        <f t="shared" si="24"/>
        <v>0</v>
      </c>
      <c r="J57" s="41">
        <f t="shared" si="24"/>
        <v>0</v>
      </c>
      <c r="K57" s="41">
        <f t="shared" si="24"/>
        <v>0</v>
      </c>
      <c r="L57" s="41">
        <f t="shared" si="24"/>
        <v>0</v>
      </c>
      <c r="M57" s="41">
        <f t="shared" si="24"/>
        <v>0</v>
      </c>
      <c r="N57" s="5"/>
      <c r="O57" s="5"/>
      <c r="P57" s="5"/>
    </row>
    <row r="58" spans="1:16" ht="12" hidden="1" customHeight="1" x14ac:dyDescent="0.2">
      <c r="A58" s="44"/>
      <c r="B58" s="44"/>
      <c r="C58" s="41"/>
      <c r="D58" s="41"/>
      <c r="E58" s="41"/>
      <c r="F58" s="41"/>
      <c r="G58" s="41"/>
      <c r="H58" s="45"/>
      <c r="I58" s="41"/>
      <c r="J58" s="41"/>
      <c r="K58" s="41"/>
      <c r="L58" s="41"/>
      <c r="M58" s="41"/>
    </row>
    <row r="59" spans="1:16" ht="12" hidden="1" customHeight="1" x14ac:dyDescent="0.2">
      <c r="A59" s="43"/>
      <c r="B59" s="43"/>
      <c r="C59" s="41">
        <f>SUM(C54:C58)</f>
        <v>9128</v>
      </c>
      <c r="D59" s="41">
        <f t="shared" ref="D59:G59" si="25">SUM(D54:D58)</f>
        <v>15712</v>
      </c>
      <c r="E59" s="41">
        <f t="shared" si="25"/>
        <v>25712</v>
      </c>
      <c r="F59" s="41">
        <f t="shared" si="25"/>
        <v>39248</v>
      </c>
      <c r="G59" s="41">
        <f t="shared" si="25"/>
        <v>50192</v>
      </c>
      <c r="H59" s="45"/>
      <c r="I59" s="41">
        <f>SUM(I54:I58)</f>
        <v>0</v>
      </c>
      <c r="J59" s="41">
        <f t="shared" ref="J59:M59" si="26">SUM(J54:J58)</f>
        <v>0</v>
      </c>
      <c r="K59" s="41">
        <f t="shared" si="26"/>
        <v>0</v>
      </c>
      <c r="L59" s="41">
        <f t="shared" si="26"/>
        <v>0</v>
      </c>
      <c r="M59" s="41">
        <f t="shared" si="26"/>
        <v>0</v>
      </c>
    </row>
    <row r="60" spans="1:16" ht="12" hidden="1" customHeight="1" x14ac:dyDescent="0.2">
      <c r="A60" s="43"/>
      <c r="B60" s="43"/>
      <c r="C60" s="41"/>
      <c r="D60" s="41"/>
      <c r="E60" s="41"/>
      <c r="F60" s="41"/>
      <c r="G60" s="41"/>
      <c r="H60" s="45"/>
      <c r="I60" s="43"/>
      <c r="J60" s="43"/>
      <c r="K60" s="43"/>
      <c r="L60" s="43"/>
      <c r="M60" s="43"/>
    </row>
    <row r="61" spans="1:16" ht="12" hidden="1" customHeight="1" x14ac:dyDescent="0.2">
      <c r="A61" s="43"/>
      <c r="B61" s="43"/>
      <c r="C61" s="41"/>
      <c r="D61" s="43"/>
      <c r="E61" s="43"/>
      <c r="F61" s="43"/>
      <c r="G61" s="43"/>
      <c r="H61" s="45"/>
      <c r="I61" s="43"/>
      <c r="J61" s="43"/>
      <c r="K61" s="43"/>
      <c r="L61" s="43"/>
      <c r="M61" s="43"/>
    </row>
    <row r="62" spans="1:16" ht="12" hidden="1" customHeight="1" x14ac:dyDescent="0.2">
      <c r="A62" s="43" t="s">
        <v>116</v>
      </c>
      <c r="B62" s="43"/>
      <c r="C62" s="46" t="str">
        <f>Legislation!B8</f>
        <v>2016/17</v>
      </c>
      <c r="D62" s="46" t="str">
        <f>Legislation!C8</f>
        <v>2017/18</v>
      </c>
      <c r="E62" s="46" t="str">
        <f>Legislation!D8</f>
        <v>2018/19</v>
      </c>
      <c r="F62" s="46" t="str">
        <f>Legislation!E8</f>
        <v>2019/20</v>
      </c>
      <c r="G62" s="46" t="str">
        <f>Legislation!F8</f>
        <v>2020/21</v>
      </c>
      <c r="H62" s="47"/>
      <c r="I62" s="46" t="str">
        <f>C62</f>
        <v>2016/17</v>
      </c>
      <c r="J62" s="46" t="str">
        <f>D62</f>
        <v>2017/18</v>
      </c>
      <c r="K62" s="46" t="str">
        <f>E62</f>
        <v>2018/19</v>
      </c>
      <c r="L62" s="46" t="str">
        <f>F62</f>
        <v>2019/20</v>
      </c>
      <c r="M62" s="46" t="str">
        <f>G62</f>
        <v>2020/21</v>
      </c>
      <c r="N62" s="3"/>
    </row>
    <row r="63" spans="1:16" ht="12" hidden="1" customHeight="1" x14ac:dyDescent="0.2">
      <c r="A63" s="43">
        <f>Legislation!A9</f>
        <v>0</v>
      </c>
      <c r="B63" s="43"/>
      <c r="C63" s="43">
        <f>Legislation!B9-(IF(C23&gt;C67,C23-C67,0)-IF(C23&gt;C68,C23-C68,0))*C69</f>
        <v>11000</v>
      </c>
      <c r="D63" s="43">
        <f>Legislation!C9-(IF(D23&gt;D67,D23-D67,0)-IF(D23&gt;D68,D23-D68,0))*D69</f>
        <v>11200</v>
      </c>
      <c r="E63" s="43">
        <f>Legislation!D9-(IF(E23&gt;E67,E23-E67,0)-IF(E23&gt;E68,E23-E68,0))*E69</f>
        <v>11200</v>
      </c>
      <c r="F63" s="43">
        <f>Legislation!E9-(IF(F23&gt;F67,F23-F67,0)-IF(F23&gt;F68,F23-F68,0))*F69</f>
        <v>2360</v>
      </c>
      <c r="G63" s="43">
        <f>Legislation!F9-(IF(G23&gt;G67,G23-G67,0)-IF(G23&gt;G68,G23-G68,0))*G69</f>
        <v>0</v>
      </c>
      <c r="H63" s="45"/>
      <c r="I63" s="43">
        <f>Legislation!B9-(IF(I23&gt;I67,I23-I67,0)-IF(I23&gt;I68,I23-I68,0))*I69</f>
        <v>11000</v>
      </c>
      <c r="J63" s="43">
        <f>Legislation!C9-(IF(J23&gt;J67,J23-J67,0)-IF(J23&gt;J68,J23-J68,0))*J69</f>
        <v>11200</v>
      </c>
      <c r="K63" s="43">
        <f>Legislation!D9-(IF(K23&gt;K67,K23-K67,0)-IF(K23&gt;K68,K23-K68,0))*K69</f>
        <v>11200</v>
      </c>
      <c r="L63" s="43">
        <f>Legislation!E9-(IF(L23&gt;L67,L23-L67,0)-IF(L23&gt;L68,L23-L68,0))*L69</f>
        <v>11200</v>
      </c>
      <c r="M63" s="43">
        <f>Legislation!F9-(IF(M23&gt;M67,M23-M67,0)-IF(M23&gt;M68,M23-M68,0))*M69</f>
        <v>11200</v>
      </c>
    </row>
    <row r="64" spans="1:16" ht="12" hidden="1" customHeight="1" x14ac:dyDescent="0.2">
      <c r="A64" s="43">
        <f>Legislation!A10</f>
        <v>0.2</v>
      </c>
      <c r="B64" s="43"/>
      <c r="C64" s="41">
        <f>Legislation!B10+C63</f>
        <v>43000</v>
      </c>
      <c r="D64" s="41">
        <f>Legislation!C10+D63</f>
        <v>43600</v>
      </c>
      <c r="E64" s="41">
        <f>Legislation!D10+E63</f>
        <v>43600</v>
      </c>
      <c r="F64" s="41">
        <f>Legislation!E10+F63</f>
        <v>34760</v>
      </c>
      <c r="G64" s="41">
        <f>Legislation!F10+G63</f>
        <v>32400</v>
      </c>
      <c r="H64" s="45"/>
      <c r="I64" s="41">
        <f>Legislation!B10+I63</f>
        <v>43000</v>
      </c>
      <c r="J64" s="41">
        <f>Legislation!C10+J63</f>
        <v>43600</v>
      </c>
      <c r="K64" s="41">
        <f>Legislation!D10+K63</f>
        <v>43600</v>
      </c>
      <c r="L64" s="41">
        <f>Legislation!E10+L63</f>
        <v>43600</v>
      </c>
      <c r="M64" s="41">
        <f>Legislation!F10+M63</f>
        <v>43600</v>
      </c>
    </row>
    <row r="65" spans="1:14" ht="12" hidden="1" customHeight="1" x14ac:dyDescent="0.2">
      <c r="A65" s="43">
        <f>Legislation!A11</f>
        <v>0.4</v>
      </c>
      <c r="B65" s="43"/>
      <c r="C65" s="41">
        <f>Legislation!B11+C64</f>
        <v>161000</v>
      </c>
      <c r="D65" s="41">
        <f>Legislation!C11+D64</f>
        <v>161200</v>
      </c>
      <c r="E65" s="41">
        <f>Legislation!D11+E64</f>
        <v>161200</v>
      </c>
      <c r="F65" s="41">
        <f>Legislation!E11+F64</f>
        <v>152360</v>
      </c>
      <c r="G65" s="41">
        <f>Legislation!F11+G64</f>
        <v>150000</v>
      </c>
      <c r="H65" s="45"/>
      <c r="I65" s="41">
        <f>Legislation!B11+I64</f>
        <v>161000</v>
      </c>
      <c r="J65" s="41">
        <f>Legislation!C11+J64</f>
        <v>161200</v>
      </c>
      <c r="K65" s="41">
        <f>Legislation!D11+K64</f>
        <v>161200</v>
      </c>
      <c r="L65" s="41">
        <f>Legislation!E11+L64</f>
        <v>161200</v>
      </c>
      <c r="M65" s="41">
        <f>Legislation!F11+M64</f>
        <v>161200</v>
      </c>
    </row>
    <row r="66" spans="1:14" ht="12" hidden="1" customHeight="1" x14ac:dyDescent="0.2">
      <c r="A66" s="43">
        <f>Legislation!A12</f>
        <v>0.45</v>
      </c>
      <c r="B66" s="43"/>
      <c r="C66" s="41"/>
      <c r="D66" s="41"/>
      <c r="E66" s="41"/>
      <c r="F66" s="41"/>
      <c r="G66" s="41"/>
      <c r="H66" s="45"/>
      <c r="I66" s="41"/>
      <c r="J66" s="41"/>
      <c r="K66" s="41"/>
      <c r="L66" s="41"/>
      <c r="M66" s="41"/>
    </row>
    <row r="67" spans="1:14" ht="12" hidden="1" customHeight="1" x14ac:dyDescent="0.2">
      <c r="A67" s="43" t="str">
        <f>Legislation!A13</f>
        <v>Withdrawal of Personal allowances - start</v>
      </c>
      <c r="B67" s="43"/>
      <c r="C67" s="41">
        <f>Legislation!B13</f>
        <v>100000</v>
      </c>
      <c r="D67" s="41">
        <f>Legislation!C13</f>
        <v>100000</v>
      </c>
      <c r="E67" s="41">
        <f>Legislation!D13</f>
        <v>100000</v>
      </c>
      <c r="F67" s="41">
        <f>Legislation!E13</f>
        <v>100000</v>
      </c>
      <c r="G67" s="41">
        <f>Legislation!F13</f>
        <v>100000</v>
      </c>
      <c r="H67" s="45"/>
      <c r="I67" s="41">
        <f t="shared" ref="I67:M70" si="27">C67</f>
        <v>100000</v>
      </c>
      <c r="J67" s="41">
        <f t="shared" si="27"/>
        <v>100000</v>
      </c>
      <c r="K67" s="41">
        <f t="shared" si="27"/>
        <v>100000</v>
      </c>
      <c r="L67" s="41">
        <f t="shared" si="27"/>
        <v>100000</v>
      </c>
      <c r="M67" s="41">
        <f t="shared" si="27"/>
        <v>100000</v>
      </c>
    </row>
    <row r="68" spans="1:14" ht="12" hidden="1" customHeight="1" x14ac:dyDescent="0.2">
      <c r="A68" s="43" t="str">
        <f>Legislation!A14</f>
        <v>Withdrawal of Personal allowances - end</v>
      </c>
      <c r="B68" s="43"/>
      <c r="C68" s="41">
        <f>Legislation!B14</f>
        <v>122000</v>
      </c>
      <c r="D68" s="41">
        <f>Legislation!C14</f>
        <v>122400</v>
      </c>
      <c r="E68" s="41">
        <f>Legislation!D14</f>
        <v>122400</v>
      </c>
      <c r="F68" s="41">
        <f>Legislation!E14</f>
        <v>122400</v>
      </c>
      <c r="G68" s="41">
        <f>Legislation!F14</f>
        <v>122400</v>
      </c>
      <c r="H68" s="45"/>
      <c r="I68" s="41">
        <f t="shared" si="27"/>
        <v>122000</v>
      </c>
      <c r="J68" s="41">
        <f t="shared" si="27"/>
        <v>122400</v>
      </c>
      <c r="K68" s="41">
        <f t="shared" si="27"/>
        <v>122400</v>
      </c>
      <c r="L68" s="41">
        <f t="shared" si="27"/>
        <v>122400</v>
      </c>
      <c r="M68" s="41">
        <f t="shared" si="27"/>
        <v>122400</v>
      </c>
    </row>
    <row r="69" spans="1:14" ht="12" hidden="1" customHeight="1" x14ac:dyDescent="0.2">
      <c r="A69" s="43" t="str">
        <f>Legislation!A15</f>
        <v>Rate of withdrawal</v>
      </c>
      <c r="B69" s="43"/>
      <c r="C69" s="44">
        <f>Legislation!B15</f>
        <v>0.5</v>
      </c>
      <c r="D69" s="44">
        <f>Legislation!C15</f>
        <v>0.5</v>
      </c>
      <c r="E69" s="44">
        <f>Legislation!D15</f>
        <v>0.5</v>
      </c>
      <c r="F69" s="44">
        <f>Legislation!E15</f>
        <v>0.5</v>
      </c>
      <c r="G69" s="44">
        <f>Legislation!F15</f>
        <v>0.5</v>
      </c>
      <c r="H69" s="45"/>
      <c r="I69" s="44">
        <f t="shared" si="27"/>
        <v>0.5</v>
      </c>
      <c r="J69" s="44">
        <f t="shared" si="27"/>
        <v>0.5</v>
      </c>
      <c r="K69" s="44">
        <f t="shared" si="27"/>
        <v>0.5</v>
      </c>
      <c r="L69" s="44">
        <f t="shared" si="27"/>
        <v>0.5</v>
      </c>
      <c r="M69" s="44">
        <f t="shared" si="27"/>
        <v>0.5</v>
      </c>
    </row>
    <row r="70" spans="1:14" ht="12" hidden="1" customHeight="1" x14ac:dyDescent="0.2">
      <c r="A70" s="43" t="str">
        <f>Legislation!A16</f>
        <v>Tapering of Interest Rate Restriction</v>
      </c>
      <c r="B70" s="43"/>
      <c r="C70" s="44">
        <f>Legislation!B16</f>
        <v>0</v>
      </c>
      <c r="D70" s="44">
        <f>Legislation!C16</f>
        <v>0.25</v>
      </c>
      <c r="E70" s="44">
        <f>Legislation!D16</f>
        <v>0.5</v>
      </c>
      <c r="F70" s="44">
        <f>Legislation!E16</f>
        <v>0.75</v>
      </c>
      <c r="G70" s="44">
        <f>Legislation!F16</f>
        <v>1</v>
      </c>
      <c r="H70" s="45"/>
      <c r="I70" s="44">
        <f t="shared" si="27"/>
        <v>0</v>
      </c>
      <c r="J70" s="44">
        <f t="shared" si="27"/>
        <v>0.25</v>
      </c>
      <c r="K70" s="44">
        <f t="shared" si="27"/>
        <v>0.5</v>
      </c>
      <c r="L70" s="44">
        <f t="shared" si="27"/>
        <v>0.75</v>
      </c>
      <c r="M70" s="44">
        <f t="shared" si="27"/>
        <v>1</v>
      </c>
    </row>
    <row r="71" spans="1:14" ht="12" hidden="1" customHeight="1" x14ac:dyDescent="0.2">
      <c r="A71" s="43">
        <f>Legislation!A17</f>
        <v>0</v>
      </c>
      <c r="B71" s="43"/>
      <c r="C71" s="44">
        <f>Legislation!B17</f>
        <v>0</v>
      </c>
      <c r="D71" s="44">
        <f>Legislation!C17</f>
        <v>0</v>
      </c>
      <c r="E71" s="44">
        <f>Legislation!D17</f>
        <v>0</v>
      </c>
      <c r="F71" s="44">
        <f>Legislation!E17</f>
        <v>0</v>
      </c>
      <c r="G71" s="44">
        <f>Legislation!F17</f>
        <v>0</v>
      </c>
      <c r="H71" s="45"/>
      <c r="I71" s="44">
        <f t="shared" ref="I71:I77" si="28">C71</f>
        <v>0</v>
      </c>
      <c r="J71" s="44">
        <f t="shared" ref="J71:J77" si="29">D71</f>
        <v>0</v>
      </c>
      <c r="K71" s="44">
        <f t="shared" ref="K71:K77" si="30">E71</f>
        <v>0</v>
      </c>
      <c r="L71" s="44">
        <f t="shared" ref="L71:L77" si="31">F71</f>
        <v>0</v>
      </c>
      <c r="M71" s="44">
        <f t="shared" ref="M71:M77" si="32">G71</f>
        <v>0</v>
      </c>
    </row>
    <row r="72" spans="1:14" ht="12" hidden="1" customHeight="1" x14ac:dyDescent="0.2">
      <c r="A72" s="43" t="str">
        <f>Legislation!A18</f>
        <v>National Insurance</v>
      </c>
      <c r="B72" s="43"/>
      <c r="C72" s="41">
        <f>Legislation!B18</f>
        <v>0</v>
      </c>
      <c r="D72" s="41">
        <f>Legislation!C18</f>
        <v>0</v>
      </c>
      <c r="E72" s="41">
        <f>Legislation!D18</f>
        <v>0</v>
      </c>
      <c r="F72" s="41">
        <f>Legislation!E18</f>
        <v>0</v>
      </c>
      <c r="G72" s="41">
        <f>Legislation!F18</f>
        <v>0</v>
      </c>
      <c r="H72" s="42"/>
      <c r="I72" s="41">
        <f t="shared" si="28"/>
        <v>0</v>
      </c>
      <c r="J72" s="41">
        <f t="shared" si="29"/>
        <v>0</v>
      </c>
      <c r="K72" s="41">
        <f t="shared" si="30"/>
        <v>0</v>
      </c>
      <c r="L72" s="41">
        <f t="shared" si="31"/>
        <v>0</v>
      </c>
      <c r="M72" s="41">
        <f t="shared" si="32"/>
        <v>0</v>
      </c>
    </row>
    <row r="73" spans="1:14" ht="12" hidden="1" customHeight="1" x14ac:dyDescent="0.2">
      <c r="A73" s="43">
        <f>Legislation!A19</f>
        <v>0</v>
      </c>
      <c r="B73" s="43"/>
      <c r="C73" s="41">
        <f>Legislation!B19</f>
        <v>8140</v>
      </c>
      <c r="D73" s="41">
        <f>Legislation!C19</f>
        <v>8140</v>
      </c>
      <c r="E73" s="41">
        <f>Legislation!D19</f>
        <v>8140</v>
      </c>
      <c r="F73" s="41">
        <f>Legislation!E19</f>
        <v>8140</v>
      </c>
      <c r="G73" s="41">
        <f>Legislation!F19</f>
        <v>8140</v>
      </c>
      <c r="H73" s="42"/>
      <c r="I73" s="41">
        <f t="shared" si="28"/>
        <v>8140</v>
      </c>
      <c r="J73" s="41">
        <f t="shared" si="29"/>
        <v>8140</v>
      </c>
      <c r="K73" s="41">
        <f t="shared" si="30"/>
        <v>8140</v>
      </c>
      <c r="L73" s="41">
        <f t="shared" si="31"/>
        <v>8140</v>
      </c>
      <c r="M73" s="41">
        <f t="shared" si="32"/>
        <v>8140</v>
      </c>
    </row>
    <row r="74" spans="1:14" ht="12" hidden="1" customHeight="1" x14ac:dyDescent="0.2">
      <c r="A74" s="43">
        <f>Legislation!A20</f>
        <v>0.12</v>
      </c>
      <c r="B74" s="43"/>
      <c r="C74" s="41">
        <f>Legislation!B20</f>
        <v>43000</v>
      </c>
      <c r="D74" s="41">
        <f>Legislation!C20</f>
        <v>43600</v>
      </c>
      <c r="E74" s="41">
        <f>Legislation!D20</f>
        <v>43600</v>
      </c>
      <c r="F74" s="41">
        <f>Legislation!E20</f>
        <v>43600</v>
      </c>
      <c r="G74" s="41">
        <f>Legislation!F20</f>
        <v>43600</v>
      </c>
      <c r="H74" s="42"/>
      <c r="I74" s="41">
        <f t="shared" si="28"/>
        <v>43000</v>
      </c>
      <c r="J74" s="41">
        <f t="shared" si="29"/>
        <v>43600</v>
      </c>
      <c r="K74" s="41">
        <f t="shared" si="30"/>
        <v>43600</v>
      </c>
      <c r="L74" s="41">
        <f t="shared" si="31"/>
        <v>43600</v>
      </c>
      <c r="M74" s="41">
        <f t="shared" si="32"/>
        <v>43600</v>
      </c>
    </row>
    <row r="75" spans="1:14" ht="12" hidden="1" customHeight="1" x14ac:dyDescent="0.2">
      <c r="A75" s="43">
        <f>Legislation!A21</f>
        <v>0.02</v>
      </c>
      <c r="B75" s="43"/>
      <c r="C75" s="44" t="str">
        <f>Legislation!B21</f>
        <v>on XS</v>
      </c>
      <c r="D75" s="44">
        <f>Legislation!C21</f>
        <v>0</v>
      </c>
      <c r="E75" s="44">
        <f>Legislation!D21</f>
        <v>0</v>
      </c>
      <c r="F75" s="44">
        <f>Legislation!E21</f>
        <v>0</v>
      </c>
      <c r="G75" s="44">
        <f>Legislation!F21</f>
        <v>0</v>
      </c>
      <c r="H75" s="45"/>
      <c r="I75" s="44" t="str">
        <f t="shared" si="28"/>
        <v>on XS</v>
      </c>
      <c r="J75" s="44">
        <f t="shared" si="29"/>
        <v>0</v>
      </c>
      <c r="K75" s="44">
        <f t="shared" si="30"/>
        <v>0</v>
      </c>
      <c r="L75" s="44">
        <f t="shared" si="31"/>
        <v>0</v>
      </c>
      <c r="M75" s="44">
        <f t="shared" si="32"/>
        <v>0</v>
      </c>
    </row>
    <row r="76" spans="1:14" ht="12" hidden="1" customHeight="1" x14ac:dyDescent="0.2">
      <c r="A76" s="43" t="str">
        <f>Legislation!A22</f>
        <v>ER Rate</v>
      </c>
      <c r="B76" s="43"/>
      <c r="C76" s="44">
        <f>Legislation!B22</f>
        <v>0.13800000000000001</v>
      </c>
      <c r="D76" s="44" t="str">
        <f>Legislation!C22</f>
        <v>over the lower rate band</v>
      </c>
      <c r="E76" s="44">
        <f>Legislation!D22</f>
        <v>0</v>
      </c>
      <c r="F76" s="44">
        <f>Legislation!E22</f>
        <v>0</v>
      </c>
      <c r="G76" s="44">
        <f>Legislation!F22</f>
        <v>0</v>
      </c>
      <c r="H76" s="45"/>
      <c r="I76" s="44">
        <f t="shared" si="28"/>
        <v>0.13800000000000001</v>
      </c>
      <c r="J76" s="44" t="str">
        <f t="shared" si="29"/>
        <v>over the lower rate band</v>
      </c>
      <c r="K76" s="44">
        <f t="shared" si="30"/>
        <v>0</v>
      </c>
      <c r="L76" s="44">
        <f t="shared" si="31"/>
        <v>0</v>
      </c>
      <c r="M76" s="44">
        <f t="shared" si="32"/>
        <v>0</v>
      </c>
    </row>
    <row r="77" spans="1:14" ht="12" hidden="1" customHeight="1" x14ac:dyDescent="0.2">
      <c r="A77" s="43">
        <f>Legislation!A23</f>
        <v>0</v>
      </c>
      <c r="B77" s="43"/>
      <c r="C77" s="44">
        <f>Legislation!B23</f>
        <v>0</v>
      </c>
      <c r="D77" s="44">
        <f>Legislation!C23</f>
        <v>0</v>
      </c>
      <c r="E77" s="44">
        <f>Legislation!D23</f>
        <v>0</v>
      </c>
      <c r="F77" s="44">
        <f>Legislation!E23</f>
        <v>0</v>
      </c>
      <c r="G77" s="44">
        <f>Legislation!F23</f>
        <v>0</v>
      </c>
      <c r="H77" s="45"/>
      <c r="I77" s="44">
        <f t="shared" si="28"/>
        <v>0</v>
      </c>
      <c r="J77" s="44">
        <f t="shared" si="29"/>
        <v>0</v>
      </c>
      <c r="K77" s="44">
        <f t="shared" si="30"/>
        <v>0</v>
      </c>
      <c r="L77" s="44">
        <f t="shared" si="31"/>
        <v>0</v>
      </c>
      <c r="M77" s="44">
        <f t="shared" si="32"/>
        <v>0</v>
      </c>
    </row>
    <row r="78" spans="1:14" ht="12" hidden="1" customHeight="1" x14ac:dyDescent="0.2">
      <c r="A78" s="43"/>
      <c r="B78" s="43"/>
      <c r="C78" s="44"/>
      <c r="D78" s="44"/>
      <c r="E78" s="44"/>
      <c r="F78" s="44"/>
      <c r="G78" s="44"/>
      <c r="H78" s="45"/>
      <c r="I78" s="44"/>
      <c r="J78" s="44"/>
      <c r="K78" s="44"/>
      <c r="L78" s="44"/>
      <c r="M78" s="44"/>
    </row>
    <row r="79" spans="1:14" ht="12" hidden="1" customHeight="1" x14ac:dyDescent="0.2">
      <c r="A79" s="43"/>
      <c r="B79" s="43"/>
      <c r="C79" s="48" t="str">
        <f>Legislation!B24</f>
        <v>2016/17</v>
      </c>
      <c r="D79" s="48" t="str">
        <f>Legislation!C24</f>
        <v>2017/18</v>
      </c>
      <c r="E79" s="48" t="str">
        <f>Legislation!D24</f>
        <v>2018/19</v>
      </c>
      <c r="F79" s="48" t="str">
        <f>Legislation!E24</f>
        <v>2019/20</v>
      </c>
      <c r="G79" s="48" t="str">
        <f>Legislation!F24</f>
        <v>2020/21</v>
      </c>
      <c r="H79" s="47"/>
      <c r="I79" s="48" t="str">
        <f t="shared" ref="I79:M86" si="33">C79</f>
        <v>2016/17</v>
      </c>
      <c r="J79" s="48" t="str">
        <f t="shared" si="33"/>
        <v>2017/18</v>
      </c>
      <c r="K79" s="48" t="str">
        <f t="shared" si="33"/>
        <v>2018/19</v>
      </c>
      <c r="L79" s="48" t="str">
        <f t="shared" si="33"/>
        <v>2019/20</v>
      </c>
      <c r="M79" s="48" t="str">
        <f t="shared" si="33"/>
        <v>2020/21</v>
      </c>
      <c r="N79" s="3"/>
    </row>
    <row r="80" spans="1:14" ht="12" hidden="1" customHeight="1" x14ac:dyDescent="0.2">
      <c r="A80" s="43" t="str">
        <f>Legislation!A25</f>
        <v>Corporation Tax</v>
      </c>
      <c r="B80" s="43"/>
      <c r="C80" s="44">
        <f>Legislation!B25</f>
        <v>0.2</v>
      </c>
      <c r="D80" s="44">
        <f>Legislation!C25</f>
        <v>0.19</v>
      </c>
      <c r="E80" s="44">
        <f>Legislation!D25</f>
        <v>0.19</v>
      </c>
      <c r="F80" s="44">
        <f>Legislation!E25</f>
        <v>0.19</v>
      </c>
      <c r="G80" s="44">
        <f>Legislation!F25</f>
        <v>0.18</v>
      </c>
      <c r="H80" s="45"/>
      <c r="I80" s="44">
        <f t="shared" si="33"/>
        <v>0.2</v>
      </c>
      <c r="J80" s="44">
        <f t="shared" si="33"/>
        <v>0.19</v>
      </c>
      <c r="K80" s="44">
        <f t="shared" si="33"/>
        <v>0.19</v>
      </c>
      <c r="L80" s="44">
        <f t="shared" si="33"/>
        <v>0.19</v>
      </c>
      <c r="M80" s="44">
        <f t="shared" si="33"/>
        <v>0.18</v>
      </c>
    </row>
    <row r="81" spans="1:15" ht="12" hidden="1" customHeight="1" x14ac:dyDescent="0.2">
      <c r="A81" s="43" t="str">
        <f>Legislation!A26</f>
        <v>Dividend Tax Rates on Tax Bands</v>
      </c>
      <c r="B81" s="43"/>
      <c r="C81" s="44">
        <f>Legislation!B26</f>
        <v>0</v>
      </c>
      <c r="D81" s="44">
        <f>Legislation!C26</f>
        <v>0</v>
      </c>
      <c r="E81" s="44">
        <f>Legislation!D26</f>
        <v>0</v>
      </c>
      <c r="F81" s="44">
        <f>Legislation!E26</f>
        <v>0</v>
      </c>
      <c r="G81" s="44">
        <f>Legislation!F26</f>
        <v>0</v>
      </c>
      <c r="H81" s="45"/>
      <c r="I81" s="44">
        <f t="shared" si="33"/>
        <v>0</v>
      </c>
      <c r="J81" s="44">
        <f t="shared" si="33"/>
        <v>0</v>
      </c>
      <c r="K81" s="44">
        <f t="shared" si="33"/>
        <v>0</v>
      </c>
      <c r="L81" s="44">
        <f t="shared" si="33"/>
        <v>0</v>
      </c>
      <c r="M81" s="44">
        <f t="shared" si="33"/>
        <v>0</v>
      </c>
    </row>
    <row r="82" spans="1:15" ht="12" hidden="1" customHeight="1" x14ac:dyDescent="0.2">
      <c r="A82" s="43">
        <f>Legislation!A27</f>
        <v>0</v>
      </c>
      <c r="B82" s="43"/>
      <c r="C82" s="49">
        <f>Legislation!B27</f>
        <v>0</v>
      </c>
      <c r="D82" s="49">
        <f>Legislation!C27</f>
        <v>0</v>
      </c>
      <c r="E82" s="49">
        <f>Legislation!D27</f>
        <v>0</v>
      </c>
      <c r="F82" s="49">
        <f>Legislation!E27</f>
        <v>0</v>
      </c>
      <c r="G82" s="49">
        <f>Legislation!F27</f>
        <v>0</v>
      </c>
      <c r="H82" s="45"/>
      <c r="I82" s="44">
        <f t="shared" si="33"/>
        <v>0</v>
      </c>
      <c r="J82" s="44">
        <f t="shared" si="33"/>
        <v>0</v>
      </c>
      <c r="K82" s="44">
        <f t="shared" si="33"/>
        <v>0</v>
      </c>
      <c r="L82" s="44">
        <f t="shared" si="33"/>
        <v>0</v>
      </c>
      <c r="M82" s="44">
        <f t="shared" si="33"/>
        <v>0</v>
      </c>
    </row>
    <row r="83" spans="1:15" ht="12" hidden="1" customHeight="1" x14ac:dyDescent="0.2">
      <c r="A83" s="43">
        <f>Legislation!A28</f>
        <v>0.2</v>
      </c>
      <c r="B83" s="43"/>
      <c r="C83" s="49">
        <f>Legislation!B28</f>
        <v>7.4999999999999997E-2</v>
      </c>
      <c r="D83" s="49">
        <f>Legislation!C28</f>
        <v>7.4999999999999997E-2</v>
      </c>
      <c r="E83" s="49">
        <f>Legislation!D28</f>
        <v>7.4999999999999997E-2</v>
      </c>
      <c r="F83" s="49">
        <f>Legislation!E28</f>
        <v>7.4999999999999997E-2</v>
      </c>
      <c r="G83" s="49">
        <f>Legislation!F28</f>
        <v>7.4999999999999997E-2</v>
      </c>
      <c r="H83" s="45"/>
      <c r="I83" s="44">
        <f t="shared" si="33"/>
        <v>7.4999999999999997E-2</v>
      </c>
      <c r="J83" s="44">
        <f t="shared" si="33"/>
        <v>7.4999999999999997E-2</v>
      </c>
      <c r="K83" s="44">
        <f t="shared" si="33"/>
        <v>7.4999999999999997E-2</v>
      </c>
      <c r="L83" s="44">
        <f t="shared" si="33"/>
        <v>7.4999999999999997E-2</v>
      </c>
      <c r="M83" s="44">
        <f t="shared" si="33"/>
        <v>7.4999999999999997E-2</v>
      </c>
    </row>
    <row r="84" spans="1:15" ht="12" hidden="1" customHeight="1" x14ac:dyDescent="0.2">
      <c r="A84" s="43">
        <f>Legislation!A29</f>
        <v>0.4</v>
      </c>
      <c r="B84" s="43"/>
      <c r="C84" s="49">
        <f>Legislation!B29</f>
        <v>0.32500000000000001</v>
      </c>
      <c r="D84" s="49">
        <f>Legislation!C29</f>
        <v>0.32500000000000001</v>
      </c>
      <c r="E84" s="49">
        <f>Legislation!D29</f>
        <v>0.32500000000000001</v>
      </c>
      <c r="F84" s="49">
        <f>Legislation!E29</f>
        <v>0.32500000000000001</v>
      </c>
      <c r="G84" s="49">
        <f>Legislation!F29</f>
        <v>0.32500000000000001</v>
      </c>
      <c r="H84" s="45"/>
      <c r="I84" s="44">
        <f t="shared" si="33"/>
        <v>0.32500000000000001</v>
      </c>
      <c r="J84" s="44">
        <f t="shared" si="33"/>
        <v>0.32500000000000001</v>
      </c>
      <c r="K84" s="44">
        <f t="shared" si="33"/>
        <v>0.32500000000000001</v>
      </c>
      <c r="L84" s="44">
        <f t="shared" si="33"/>
        <v>0.32500000000000001</v>
      </c>
      <c r="M84" s="44">
        <f t="shared" si="33"/>
        <v>0.32500000000000001</v>
      </c>
    </row>
    <row r="85" spans="1:15" ht="12" hidden="1" customHeight="1" x14ac:dyDescent="0.2">
      <c r="A85" s="43">
        <f>Legislation!A30</f>
        <v>0.45</v>
      </c>
      <c r="B85" s="43"/>
      <c r="C85" s="49">
        <f>Legislation!B30</f>
        <v>0.38100000000000001</v>
      </c>
      <c r="D85" s="49">
        <f>Legislation!C30</f>
        <v>0.38100000000000001</v>
      </c>
      <c r="E85" s="49">
        <f>Legislation!D30</f>
        <v>0.38100000000000001</v>
      </c>
      <c r="F85" s="49">
        <f>Legislation!E30</f>
        <v>0.38100000000000001</v>
      </c>
      <c r="G85" s="49">
        <f>Legislation!F30</f>
        <v>0.38100000000000001</v>
      </c>
      <c r="H85" s="45"/>
      <c r="I85" s="44">
        <f t="shared" si="33"/>
        <v>0.38100000000000001</v>
      </c>
      <c r="J85" s="44">
        <f t="shared" si="33"/>
        <v>0.38100000000000001</v>
      </c>
      <c r="K85" s="44">
        <f t="shared" si="33"/>
        <v>0.38100000000000001</v>
      </c>
      <c r="L85" s="44">
        <f t="shared" si="33"/>
        <v>0.38100000000000001</v>
      </c>
      <c r="M85" s="44">
        <f t="shared" si="33"/>
        <v>0.38100000000000001</v>
      </c>
    </row>
    <row r="86" spans="1:15" ht="12" hidden="1" customHeight="1" x14ac:dyDescent="0.2">
      <c r="A86" s="43" t="str">
        <f>Legislation!A31</f>
        <v>Tax free dividend limit</v>
      </c>
      <c r="B86" s="43"/>
      <c r="C86" s="41">
        <f>Legislation!B31</f>
        <v>5000</v>
      </c>
      <c r="D86" s="41">
        <f>Legislation!C31</f>
        <v>5000</v>
      </c>
      <c r="E86" s="41">
        <f>Legislation!D31</f>
        <v>5000</v>
      </c>
      <c r="F86" s="41">
        <f>Legislation!E31</f>
        <v>5000</v>
      </c>
      <c r="G86" s="41">
        <f>Legislation!F31</f>
        <v>5000</v>
      </c>
      <c r="H86" s="45"/>
      <c r="I86" s="41">
        <f t="shared" si="33"/>
        <v>5000</v>
      </c>
      <c r="J86" s="41">
        <f t="shared" si="33"/>
        <v>5000</v>
      </c>
      <c r="K86" s="41">
        <f t="shared" si="33"/>
        <v>5000</v>
      </c>
      <c r="L86" s="41">
        <f t="shared" si="33"/>
        <v>5000</v>
      </c>
      <c r="M86" s="41">
        <f t="shared" si="33"/>
        <v>5000</v>
      </c>
    </row>
    <row r="87" spans="1:15" ht="12" hidden="1" customHeight="1" x14ac:dyDescent="0.2">
      <c r="A87" s="43"/>
      <c r="B87" s="43"/>
      <c r="C87" s="41"/>
      <c r="D87" s="41"/>
      <c r="E87" s="41"/>
      <c r="F87" s="41"/>
      <c r="G87" s="41"/>
      <c r="H87" s="45"/>
      <c r="I87" s="43"/>
      <c r="J87" s="43"/>
      <c r="K87" s="43"/>
      <c r="L87" s="43"/>
      <c r="M87" s="43"/>
    </row>
    <row r="88" spans="1:15" ht="12" hidden="1" customHeight="1" x14ac:dyDescent="0.2">
      <c r="A88" s="93" t="s">
        <v>137</v>
      </c>
      <c r="B88" s="43"/>
      <c r="C88" s="41"/>
      <c r="D88" s="41"/>
      <c r="E88" s="41"/>
      <c r="F88" s="41"/>
      <c r="G88" s="41"/>
      <c r="H88" s="45"/>
      <c r="I88" s="43"/>
      <c r="J88" s="43"/>
      <c r="K88" s="43"/>
      <c r="L88" s="43"/>
      <c r="M88" s="43"/>
    </row>
    <row r="89" spans="1:15" ht="12" hidden="1" customHeight="1" x14ac:dyDescent="0.2">
      <c r="A89" s="43" t="s">
        <v>139</v>
      </c>
      <c r="B89" s="53" t="str">
        <f>Summary!D12</f>
        <v>y</v>
      </c>
      <c r="C89" s="41"/>
      <c r="D89" s="41"/>
      <c r="E89" s="41"/>
      <c r="F89" s="41"/>
      <c r="G89" s="41"/>
      <c r="H89" s="41"/>
      <c r="I89" s="41">
        <f>+(IF($B89="y",1,0)+IF($B89="yes",1,0))*IF(C18&gt;C73,0,C73-C18)*IF(C73-C18&gt;I8+I10,(I8+I10)/(C73-C18),1)</f>
        <v>8140</v>
      </c>
      <c r="J89" s="41">
        <f t="shared" ref="J89:M89" si="34">+(IF($B89="y",1,0)+IF($B89="yes",1,0))*IF(D18&gt;D73,0,D73-D18)*IF(D73-D18&gt;J8+J10,(J8+J10)/(D73-D18),1)</f>
        <v>8140</v>
      </c>
      <c r="K89" s="41">
        <f t="shared" si="34"/>
        <v>8140</v>
      </c>
      <c r="L89" s="41">
        <f t="shared" si="34"/>
        <v>8140</v>
      </c>
      <c r="M89" s="41">
        <f t="shared" si="34"/>
        <v>8140</v>
      </c>
    </row>
    <row r="90" spans="1:15" ht="12" hidden="1" customHeight="1" x14ac:dyDescent="0.2">
      <c r="A90" s="43" t="s">
        <v>140</v>
      </c>
      <c r="B90" s="53" t="str">
        <f>Summary!D13</f>
        <v>n</v>
      </c>
      <c r="C90" s="41"/>
      <c r="D90" s="41"/>
      <c r="E90" s="41"/>
      <c r="F90" s="41"/>
      <c r="G90" s="41"/>
      <c r="H90" s="45"/>
      <c r="I90" s="41">
        <f>+((IF($B90="y",1,0)+IF($B90="yes",1,0))*IF(I8&gt;I73,I73,I8))*IF(I8&lt;0,0,1)</f>
        <v>0</v>
      </c>
      <c r="J90" s="41">
        <f t="shared" ref="J90:M90" si="35">+((IF($B90="y",1,0)+IF($B90="yes",1,0))*IF(J8&gt;J73,J73,J8))*IF(J8&lt;0,0,1)</f>
        <v>0</v>
      </c>
      <c r="K90" s="41">
        <f t="shared" si="35"/>
        <v>0</v>
      </c>
      <c r="L90" s="41">
        <f t="shared" si="35"/>
        <v>0</v>
      </c>
      <c r="M90" s="41">
        <f t="shared" si="35"/>
        <v>0</v>
      </c>
      <c r="N90" s="41"/>
      <c r="O90" s="41"/>
    </row>
    <row r="91" spans="1:15" ht="12" hidden="1" customHeight="1" x14ac:dyDescent="0.2">
      <c r="A91" s="43"/>
      <c r="B91" s="43"/>
      <c r="C91" s="41"/>
      <c r="D91" s="41"/>
      <c r="E91" s="41"/>
      <c r="F91" s="41"/>
      <c r="G91" s="41"/>
      <c r="H91" s="45"/>
      <c r="I91" s="43"/>
      <c r="J91" s="43"/>
      <c r="K91" s="43"/>
      <c r="L91" s="43"/>
      <c r="M91" s="43"/>
    </row>
    <row r="92" spans="1:15" ht="12" hidden="1" customHeight="1" x14ac:dyDescent="0.2">
      <c r="A92" s="93" t="s">
        <v>124</v>
      </c>
      <c r="B92" s="43"/>
      <c r="C92" s="41"/>
      <c r="D92" s="41"/>
      <c r="E92" s="41"/>
      <c r="F92" s="41"/>
      <c r="G92" s="41"/>
      <c r="H92" s="45"/>
      <c r="I92" s="43"/>
      <c r="J92" s="43"/>
      <c r="K92" s="43"/>
      <c r="L92" s="43"/>
      <c r="M92" s="43"/>
    </row>
    <row r="93" spans="1:15" ht="12" hidden="1" customHeight="1" x14ac:dyDescent="0.2">
      <c r="A93" s="43" t="s">
        <v>27</v>
      </c>
      <c r="B93" s="43"/>
      <c r="C93" s="41">
        <f>+C52+C19+C22</f>
        <v>50820</v>
      </c>
      <c r="D93" s="41">
        <f>+D52+D19+D22</f>
        <v>67680</v>
      </c>
      <c r="E93" s="41">
        <f>+E52+E19+E22</f>
        <v>92680</v>
      </c>
      <c r="F93" s="41">
        <f>+F52+F19+F22</f>
        <v>117680</v>
      </c>
      <c r="G93" s="41">
        <f>+G52+G19+G22</f>
        <v>142680</v>
      </c>
      <c r="H93" s="41"/>
      <c r="I93" s="41">
        <f>+I52+I19+I22</f>
        <v>24512.487999999998</v>
      </c>
      <c r="J93" s="41">
        <f>+J52+J19+J22</f>
        <v>16564.644099999998</v>
      </c>
      <c r="K93" s="41">
        <f>+K52+K19+K22</f>
        <v>16564.644099999998</v>
      </c>
      <c r="L93" s="41">
        <f>+L52+L19+L22</f>
        <v>16564.644099999998</v>
      </c>
      <c r="M93" s="41">
        <f>+M52+M19+M22</f>
        <v>16756.800199999998</v>
      </c>
    </row>
    <row r="94" spans="1:15" ht="12" hidden="1" customHeight="1" x14ac:dyDescent="0.2">
      <c r="A94" s="43"/>
      <c r="B94" s="43"/>
      <c r="C94" s="41"/>
      <c r="D94" s="41"/>
      <c r="E94" s="41"/>
      <c r="F94" s="41"/>
      <c r="G94" s="41"/>
      <c r="H94" s="45"/>
      <c r="I94" s="43"/>
      <c r="J94" s="43"/>
      <c r="K94" s="43"/>
      <c r="L94" s="43"/>
      <c r="M94" s="43"/>
    </row>
    <row r="95" spans="1:15" ht="12" hidden="1" customHeight="1" x14ac:dyDescent="0.2">
      <c r="A95" s="43" t="s">
        <v>37</v>
      </c>
      <c r="B95" s="43"/>
      <c r="C95" s="41">
        <v>1</v>
      </c>
      <c r="D95" s="43">
        <v>1</v>
      </c>
      <c r="E95" s="43">
        <v>1</v>
      </c>
      <c r="F95" s="43">
        <v>1</v>
      </c>
      <c r="G95" s="43">
        <v>1</v>
      </c>
      <c r="H95" s="45"/>
      <c r="I95" s="43">
        <v>1</v>
      </c>
      <c r="J95" s="43">
        <v>1</v>
      </c>
      <c r="K95" s="43">
        <v>1</v>
      </c>
      <c r="L95" s="43">
        <v>1</v>
      </c>
      <c r="M95" s="43">
        <v>1</v>
      </c>
    </row>
    <row r="96" spans="1:15" ht="12" hidden="1" customHeight="1" x14ac:dyDescent="0.2">
      <c r="A96" s="43">
        <v>20</v>
      </c>
      <c r="B96" s="43"/>
      <c r="C96" s="41">
        <f t="shared" ref="C96:G98" si="36">+IF(C$18+C$20&gt;C63,1,0)</f>
        <v>1</v>
      </c>
      <c r="D96" s="41">
        <f t="shared" si="36"/>
        <v>1</v>
      </c>
      <c r="E96" s="41">
        <f t="shared" si="36"/>
        <v>1</v>
      </c>
      <c r="F96" s="41">
        <f t="shared" si="36"/>
        <v>1</v>
      </c>
      <c r="G96" s="41">
        <f t="shared" si="36"/>
        <v>1</v>
      </c>
      <c r="H96" s="42"/>
      <c r="I96" s="41">
        <f t="shared" ref="I96:M98" si="37">+IF(I$18+I$20&gt;I63,1,0)</f>
        <v>0</v>
      </c>
      <c r="J96" s="41">
        <f t="shared" si="37"/>
        <v>0</v>
      </c>
      <c r="K96" s="41">
        <f t="shared" si="37"/>
        <v>0</v>
      </c>
      <c r="L96" s="41">
        <f t="shared" si="37"/>
        <v>0</v>
      </c>
      <c r="M96" s="41">
        <f t="shared" si="37"/>
        <v>0</v>
      </c>
    </row>
    <row r="97" spans="1:13" ht="12" hidden="1" customHeight="1" x14ac:dyDescent="0.2">
      <c r="A97" s="43">
        <v>40</v>
      </c>
      <c r="B97" s="43"/>
      <c r="C97" s="41">
        <f t="shared" si="36"/>
        <v>0</v>
      </c>
      <c r="D97" s="41">
        <f t="shared" si="36"/>
        <v>1</v>
      </c>
      <c r="E97" s="41">
        <f t="shared" si="36"/>
        <v>1</v>
      </c>
      <c r="F97" s="41">
        <f t="shared" si="36"/>
        <v>1</v>
      </c>
      <c r="G97" s="41">
        <f t="shared" si="36"/>
        <v>1</v>
      </c>
      <c r="H97" s="42"/>
      <c r="I97" s="41">
        <f t="shared" si="37"/>
        <v>0</v>
      </c>
      <c r="J97" s="41">
        <f t="shared" si="37"/>
        <v>0</v>
      </c>
      <c r="K97" s="41">
        <f t="shared" si="37"/>
        <v>0</v>
      </c>
      <c r="L97" s="41">
        <f t="shared" si="37"/>
        <v>0</v>
      </c>
      <c r="M97" s="41">
        <f t="shared" si="37"/>
        <v>0</v>
      </c>
    </row>
    <row r="98" spans="1:13" ht="12" hidden="1" customHeight="1" x14ac:dyDescent="0.2">
      <c r="A98" s="43">
        <v>45</v>
      </c>
      <c r="B98" s="43"/>
      <c r="C98" s="41">
        <f t="shared" si="36"/>
        <v>0</v>
      </c>
      <c r="D98" s="41">
        <f t="shared" si="36"/>
        <v>0</v>
      </c>
      <c r="E98" s="41">
        <f t="shared" si="36"/>
        <v>0</v>
      </c>
      <c r="F98" s="41">
        <f t="shared" si="36"/>
        <v>0</v>
      </c>
      <c r="G98" s="41">
        <f t="shared" si="36"/>
        <v>0</v>
      </c>
      <c r="H98" s="42"/>
      <c r="I98" s="41">
        <f t="shared" si="37"/>
        <v>0</v>
      </c>
      <c r="J98" s="41">
        <f t="shared" si="37"/>
        <v>0</v>
      </c>
      <c r="K98" s="41">
        <f t="shared" si="37"/>
        <v>0</v>
      </c>
      <c r="L98" s="41">
        <f t="shared" si="37"/>
        <v>0</v>
      </c>
      <c r="M98" s="41">
        <f t="shared" si="37"/>
        <v>0</v>
      </c>
    </row>
    <row r="99" spans="1:13" ht="12" hidden="1" customHeight="1" x14ac:dyDescent="0.2">
      <c r="A99" s="43"/>
      <c r="B99" s="43"/>
      <c r="C99" s="43"/>
      <c r="D99" s="43"/>
      <c r="E99" s="43"/>
      <c r="F99" s="43"/>
      <c r="G99" s="43"/>
      <c r="H99" s="45"/>
      <c r="I99" s="43"/>
      <c r="J99" s="43"/>
      <c r="K99" s="43"/>
      <c r="L99" s="43"/>
      <c r="M99" s="43"/>
    </row>
    <row r="100" spans="1:13" ht="12" hidden="1" customHeight="1" x14ac:dyDescent="0.2">
      <c r="A100" s="43" t="s">
        <v>36</v>
      </c>
      <c r="B100" s="43"/>
      <c r="C100" s="43">
        <v>1</v>
      </c>
      <c r="D100" s="43">
        <v>1</v>
      </c>
      <c r="E100" s="43">
        <v>1</v>
      </c>
      <c r="F100" s="43">
        <v>1</v>
      </c>
      <c r="G100" s="43">
        <v>1</v>
      </c>
      <c r="H100" s="45"/>
      <c r="I100" s="43">
        <v>1</v>
      </c>
      <c r="J100" s="43">
        <v>1</v>
      </c>
      <c r="K100" s="43">
        <v>1</v>
      </c>
      <c r="L100" s="43">
        <v>1</v>
      </c>
      <c r="M100" s="43">
        <v>1</v>
      </c>
    </row>
    <row r="101" spans="1:13" ht="12" hidden="1" customHeight="1" x14ac:dyDescent="0.2">
      <c r="A101" s="43">
        <v>20</v>
      </c>
      <c r="B101" s="43"/>
      <c r="C101" s="43">
        <f t="shared" ref="C101:G103" si="38">+IF(C$93&gt;C63,1,0)</f>
        <v>1</v>
      </c>
      <c r="D101" s="43">
        <f t="shared" si="38"/>
        <v>1</v>
      </c>
      <c r="E101" s="43">
        <f t="shared" si="38"/>
        <v>1</v>
      </c>
      <c r="F101" s="43">
        <f t="shared" si="38"/>
        <v>1</v>
      </c>
      <c r="G101" s="43">
        <f t="shared" si="38"/>
        <v>1</v>
      </c>
      <c r="H101" s="45"/>
      <c r="I101" s="43">
        <f t="shared" ref="I101:M103" si="39">+IF(I$93&gt;I63,1,0)</f>
        <v>1</v>
      </c>
      <c r="J101" s="43">
        <f t="shared" si="39"/>
        <v>1</v>
      </c>
      <c r="K101" s="43">
        <f t="shared" si="39"/>
        <v>1</v>
      </c>
      <c r="L101" s="43">
        <f t="shared" si="39"/>
        <v>1</v>
      </c>
      <c r="M101" s="43">
        <f t="shared" si="39"/>
        <v>1</v>
      </c>
    </row>
    <row r="102" spans="1:13" ht="12" hidden="1" customHeight="1" x14ac:dyDescent="0.2">
      <c r="A102" s="43">
        <v>40</v>
      </c>
      <c r="B102" s="43"/>
      <c r="C102" s="43">
        <f t="shared" si="38"/>
        <v>1</v>
      </c>
      <c r="D102" s="43">
        <f t="shared" si="38"/>
        <v>1</v>
      </c>
      <c r="E102" s="43">
        <f t="shared" si="38"/>
        <v>1</v>
      </c>
      <c r="F102" s="43">
        <f t="shared" si="38"/>
        <v>1</v>
      </c>
      <c r="G102" s="43">
        <f t="shared" si="38"/>
        <v>1</v>
      </c>
      <c r="H102" s="45"/>
      <c r="I102" s="43">
        <f t="shared" si="39"/>
        <v>0</v>
      </c>
      <c r="J102" s="43">
        <f t="shared" si="39"/>
        <v>0</v>
      </c>
      <c r="K102" s="43">
        <f t="shared" si="39"/>
        <v>0</v>
      </c>
      <c r="L102" s="43">
        <f t="shared" si="39"/>
        <v>0</v>
      </c>
      <c r="M102" s="43">
        <f t="shared" si="39"/>
        <v>0</v>
      </c>
    </row>
    <row r="103" spans="1:13" ht="12" hidden="1" customHeight="1" x14ac:dyDescent="0.2">
      <c r="A103" s="43">
        <v>45</v>
      </c>
      <c r="B103" s="43"/>
      <c r="C103" s="43">
        <f t="shared" si="38"/>
        <v>0</v>
      </c>
      <c r="D103" s="43">
        <f t="shared" si="38"/>
        <v>0</v>
      </c>
      <c r="E103" s="43">
        <f t="shared" si="38"/>
        <v>0</v>
      </c>
      <c r="F103" s="43">
        <f t="shared" si="38"/>
        <v>0</v>
      </c>
      <c r="G103" s="43">
        <f t="shared" si="38"/>
        <v>0</v>
      </c>
      <c r="H103" s="45"/>
      <c r="I103" s="43">
        <f t="shared" si="39"/>
        <v>0</v>
      </c>
      <c r="J103" s="43">
        <f t="shared" si="39"/>
        <v>0</v>
      </c>
      <c r="K103" s="43">
        <f t="shared" si="39"/>
        <v>0</v>
      </c>
      <c r="L103" s="43">
        <f t="shared" si="39"/>
        <v>0</v>
      </c>
      <c r="M103" s="43">
        <f t="shared" si="39"/>
        <v>0</v>
      </c>
    </row>
    <row r="104" spans="1:13" ht="12" hidden="1" customHeight="1" x14ac:dyDescent="0.2">
      <c r="A104" s="43"/>
      <c r="B104" s="43"/>
      <c r="C104" s="43"/>
      <c r="D104" s="43"/>
      <c r="E104" s="43"/>
      <c r="F104" s="43"/>
      <c r="G104" s="43"/>
      <c r="H104" s="45"/>
      <c r="I104" s="43"/>
      <c r="J104" s="43"/>
      <c r="K104" s="43"/>
      <c r="L104" s="43"/>
      <c r="M104" s="43"/>
    </row>
    <row r="105" spans="1:13" ht="12" hidden="1" customHeight="1" x14ac:dyDescent="0.2">
      <c r="A105" s="43">
        <v>4545</v>
      </c>
      <c r="B105" s="43"/>
      <c r="C105" s="43">
        <f>C103*C98</f>
        <v>0</v>
      </c>
      <c r="D105" s="43">
        <f t="shared" ref="D105:G105" si="40">D103*D98</f>
        <v>0</v>
      </c>
      <c r="E105" s="43">
        <f t="shared" si="40"/>
        <v>0</v>
      </c>
      <c r="F105" s="43">
        <f t="shared" si="40"/>
        <v>0</v>
      </c>
      <c r="G105" s="43">
        <f t="shared" si="40"/>
        <v>0</v>
      </c>
      <c r="H105" s="45"/>
      <c r="I105" s="43">
        <f t="shared" ref="I105:M105" si="41">I103*I98</f>
        <v>0</v>
      </c>
      <c r="J105" s="43">
        <f t="shared" si="41"/>
        <v>0</v>
      </c>
      <c r="K105" s="43">
        <f t="shared" si="41"/>
        <v>0</v>
      </c>
      <c r="L105" s="43">
        <f t="shared" si="41"/>
        <v>0</v>
      </c>
      <c r="M105" s="43">
        <f t="shared" si="41"/>
        <v>0</v>
      </c>
    </row>
    <row r="106" spans="1:13" ht="12" hidden="1" customHeight="1" x14ac:dyDescent="0.2">
      <c r="A106" s="43">
        <v>4540</v>
      </c>
      <c r="B106" s="43"/>
      <c r="C106" s="43">
        <f>C103*(C97-C98)</f>
        <v>0</v>
      </c>
      <c r="D106" s="43">
        <f t="shared" ref="D106:G106" si="42">D103*(D97-D98)</f>
        <v>0</v>
      </c>
      <c r="E106" s="43">
        <f t="shared" si="42"/>
        <v>0</v>
      </c>
      <c r="F106" s="43">
        <f t="shared" si="42"/>
        <v>0</v>
      </c>
      <c r="G106" s="43">
        <f t="shared" si="42"/>
        <v>0</v>
      </c>
      <c r="H106" s="45"/>
      <c r="I106" s="43">
        <f t="shared" ref="I106:M106" si="43">I103*(I97-I98)</f>
        <v>0</v>
      </c>
      <c r="J106" s="43">
        <f t="shared" si="43"/>
        <v>0</v>
      </c>
      <c r="K106" s="43">
        <f t="shared" si="43"/>
        <v>0</v>
      </c>
      <c r="L106" s="43">
        <f t="shared" si="43"/>
        <v>0</v>
      </c>
      <c r="M106" s="43">
        <f t="shared" si="43"/>
        <v>0</v>
      </c>
    </row>
    <row r="107" spans="1:13" ht="12" hidden="1" customHeight="1" x14ac:dyDescent="0.2">
      <c r="A107" s="43">
        <v>4520</v>
      </c>
      <c r="B107" s="43"/>
      <c r="C107" s="43">
        <f>C103*(C96-C97)</f>
        <v>0</v>
      </c>
      <c r="D107" s="43">
        <f t="shared" ref="D107:G107" si="44">D103*(D96-D97)</f>
        <v>0</v>
      </c>
      <c r="E107" s="43">
        <f t="shared" si="44"/>
        <v>0</v>
      </c>
      <c r="F107" s="43">
        <f t="shared" si="44"/>
        <v>0</v>
      </c>
      <c r="G107" s="43">
        <f t="shared" si="44"/>
        <v>0</v>
      </c>
      <c r="H107" s="45"/>
      <c r="I107" s="43">
        <f t="shared" ref="I107:M107" si="45">I103*(I96-I97)</f>
        <v>0</v>
      </c>
      <c r="J107" s="43">
        <f t="shared" si="45"/>
        <v>0</v>
      </c>
      <c r="K107" s="43">
        <f t="shared" si="45"/>
        <v>0</v>
      </c>
      <c r="L107" s="43">
        <f t="shared" si="45"/>
        <v>0</v>
      </c>
      <c r="M107" s="43">
        <f t="shared" si="45"/>
        <v>0</v>
      </c>
    </row>
    <row r="108" spans="1:13" ht="12" hidden="1" customHeight="1" x14ac:dyDescent="0.2">
      <c r="A108" s="43">
        <v>4500</v>
      </c>
      <c r="B108" s="43"/>
      <c r="C108" s="43">
        <f>C103*(C95-C96)</f>
        <v>0</v>
      </c>
      <c r="D108" s="43">
        <f t="shared" ref="D108:G108" si="46">D103*(D95-D96)</f>
        <v>0</v>
      </c>
      <c r="E108" s="43">
        <f t="shared" si="46"/>
        <v>0</v>
      </c>
      <c r="F108" s="43">
        <f t="shared" si="46"/>
        <v>0</v>
      </c>
      <c r="G108" s="43">
        <f t="shared" si="46"/>
        <v>0</v>
      </c>
      <c r="H108" s="45"/>
      <c r="I108" s="43">
        <f t="shared" ref="I108:M108" si="47">I103*(I95-I96)</f>
        <v>0</v>
      </c>
      <c r="J108" s="43">
        <f t="shared" si="47"/>
        <v>0</v>
      </c>
      <c r="K108" s="43">
        <f t="shared" si="47"/>
        <v>0</v>
      </c>
      <c r="L108" s="43">
        <f t="shared" si="47"/>
        <v>0</v>
      </c>
      <c r="M108" s="43">
        <f t="shared" si="47"/>
        <v>0</v>
      </c>
    </row>
    <row r="109" spans="1:13" ht="12" hidden="1" customHeight="1" x14ac:dyDescent="0.2">
      <c r="A109" s="43">
        <v>4040</v>
      </c>
      <c r="B109" s="43"/>
      <c r="C109" s="43">
        <f>(C$102-C$103)*C97</f>
        <v>0</v>
      </c>
      <c r="D109" s="43">
        <f t="shared" ref="D109:G109" si="48">(D$102-D$103)*D97</f>
        <v>1</v>
      </c>
      <c r="E109" s="43">
        <f t="shared" si="48"/>
        <v>1</v>
      </c>
      <c r="F109" s="43">
        <f t="shared" si="48"/>
        <v>1</v>
      </c>
      <c r="G109" s="43">
        <f t="shared" si="48"/>
        <v>1</v>
      </c>
      <c r="H109" s="45"/>
      <c r="I109" s="43">
        <f>(I$102-I$103)*I97</f>
        <v>0</v>
      </c>
      <c r="J109" s="43">
        <f>(J$102-J$103)*J97</f>
        <v>0</v>
      </c>
      <c r="K109" s="43">
        <f>(K$102-K$103)*K97</f>
        <v>0</v>
      </c>
      <c r="L109" s="43">
        <f>(L$102-L$103)*L97</f>
        <v>0</v>
      </c>
      <c r="M109" s="43">
        <f>(M$102-M$103)*M97</f>
        <v>0</v>
      </c>
    </row>
    <row r="110" spans="1:13" ht="12" hidden="1" customHeight="1" x14ac:dyDescent="0.2">
      <c r="A110" s="43">
        <v>4020</v>
      </c>
      <c r="B110" s="43"/>
      <c r="C110" s="43">
        <f>(C$102-C$103)*(C96-C97)</f>
        <v>1</v>
      </c>
      <c r="D110" s="43">
        <f t="shared" ref="D110:G110" si="49">(D$102-D$103)*(D96-D97)</f>
        <v>0</v>
      </c>
      <c r="E110" s="43">
        <f t="shared" si="49"/>
        <v>0</v>
      </c>
      <c r="F110" s="43">
        <f t="shared" si="49"/>
        <v>0</v>
      </c>
      <c r="G110" s="43">
        <f t="shared" si="49"/>
        <v>0</v>
      </c>
      <c r="H110" s="45"/>
      <c r="I110" s="43">
        <f>(I$102-I$103)*(I96-I97)</f>
        <v>0</v>
      </c>
      <c r="J110" s="43">
        <f>(J$102-J$103)*(J96-J97)</f>
        <v>0</v>
      </c>
      <c r="K110" s="43">
        <f>(K$102-K$103)*(K96-K97)</f>
        <v>0</v>
      </c>
      <c r="L110" s="43">
        <f>(L$102-L$103)*(L96-L97)</f>
        <v>0</v>
      </c>
      <c r="M110" s="43">
        <f>(M$102-M$103)*(M96-M97)</f>
        <v>0</v>
      </c>
    </row>
    <row r="111" spans="1:13" ht="12" hidden="1" customHeight="1" x14ac:dyDescent="0.2">
      <c r="A111" s="43">
        <v>4000</v>
      </c>
      <c r="B111" s="43"/>
      <c r="C111" s="43">
        <f>(C$102-C$103)*(C95-C96)</f>
        <v>0</v>
      </c>
      <c r="D111" s="43">
        <f t="shared" ref="D111:G111" si="50">(D$102-D$103)*(D95-D96)</f>
        <v>0</v>
      </c>
      <c r="E111" s="43">
        <f t="shared" si="50"/>
        <v>0</v>
      </c>
      <c r="F111" s="43">
        <f t="shared" si="50"/>
        <v>0</v>
      </c>
      <c r="G111" s="43">
        <f t="shared" si="50"/>
        <v>0</v>
      </c>
      <c r="H111" s="45"/>
      <c r="I111" s="43">
        <f>(I$102-I$103)*(I95-I96)</f>
        <v>0</v>
      </c>
      <c r="J111" s="43">
        <f>(J$102-J$103)*(J95-J96)</f>
        <v>0</v>
      </c>
      <c r="K111" s="43">
        <f>(K$102-K$103)*(K95-K96)</f>
        <v>0</v>
      </c>
      <c r="L111" s="43">
        <f>(L$102-L$103)*(L95-L96)</f>
        <v>0</v>
      </c>
      <c r="M111" s="43">
        <f>(M$102-M$103)*(M95-M96)</f>
        <v>0</v>
      </c>
    </row>
    <row r="112" spans="1:13" ht="12" hidden="1" customHeight="1" x14ac:dyDescent="0.2">
      <c r="A112" s="43">
        <v>2020</v>
      </c>
      <c r="B112" s="43"/>
      <c r="C112" s="43">
        <f>(C$101-C$102)*C96</f>
        <v>0</v>
      </c>
      <c r="D112" s="43">
        <f t="shared" ref="D112:G112" si="51">(D$101-D$102)*D96</f>
        <v>0</v>
      </c>
      <c r="E112" s="43">
        <f t="shared" si="51"/>
        <v>0</v>
      </c>
      <c r="F112" s="43">
        <f t="shared" si="51"/>
        <v>0</v>
      </c>
      <c r="G112" s="43">
        <f t="shared" si="51"/>
        <v>0</v>
      </c>
      <c r="H112" s="45"/>
      <c r="I112" s="43">
        <f>(I$101-I$102)*I96</f>
        <v>0</v>
      </c>
      <c r="J112" s="43">
        <f>(J$101-J$102)*J96</f>
        <v>0</v>
      </c>
      <c r="K112" s="43">
        <f>(K$101-K$102)*K96</f>
        <v>0</v>
      </c>
      <c r="L112" s="43">
        <f>(L$101-L$102)*L96</f>
        <v>0</v>
      </c>
      <c r="M112" s="43">
        <f>(M$101-M$102)*M96</f>
        <v>0</v>
      </c>
    </row>
    <row r="113" spans="1:13" ht="12" hidden="1" customHeight="1" x14ac:dyDescent="0.2">
      <c r="A113" s="43">
        <v>2000</v>
      </c>
      <c r="B113" s="43"/>
      <c r="C113" s="43">
        <f>(C$101-C$102)*(C95-C96)</f>
        <v>0</v>
      </c>
      <c r="D113" s="43">
        <f t="shared" ref="D113:G113" si="52">(D$101-D$102)*(D95-D96)</f>
        <v>0</v>
      </c>
      <c r="E113" s="43">
        <f t="shared" si="52"/>
        <v>0</v>
      </c>
      <c r="F113" s="43">
        <f t="shared" si="52"/>
        <v>0</v>
      </c>
      <c r="G113" s="43">
        <f t="shared" si="52"/>
        <v>0</v>
      </c>
      <c r="H113" s="45"/>
      <c r="I113" s="43">
        <f>(I$101-I$102)*(I95-I96)</f>
        <v>1</v>
      </c>
      <c r="J113" s="43">
        <f>(J$101-J$102)*(J95-J96)</f>
        <v>1</v>
      </c>
      <c r="K113" s="43">
        <f>(K$101-K$102)*(K95-K96)</f>
        <v>1</v>
      </c>
      <c r="L113" s="43">
        <f>(L$101-L$102)*(L95-L96)</f>
        <v>1</v>
      </c>
      <c r="M113" s="43">
        <f>(M$101-M$102)*(M95-M96)</f>
        <v>1</v>
      </c>
    </row>
    <row r="114" spans="1:13" ht="12" hidden="1" customHeight="1" x14ac:dyDescent="0.2">
      <c r="A114" s="43">
        <v>0</v>
      </c>
      <c r="B114" s="43"/>
      <c r="C114" s="43"/>
      <c r="D114" s="43"/>
      <c r="E114" s="43"/>
      <c r="F114" s="43"/>
      <c r="G114" s="43"/>
      <c r="H114" s="45"/>
      <c r="I114" s="43"/>
      <c r="J114" s="43"/>
      <c r="K114" s="43"/>
      <c r="L114" s="43"/>
      <c r="M114" s="43"/>
    </row>
    <row r="115" spans="1:13" ht="12" hidden="1" customHeight="1" x14ac:dyDescent="0.2">
      <c r="A115" s="43"/>
      <c r="B115" s="43"/>
      <c r="C115" s="43"/>
      <c r="D115" s="43"/>
      <c r="E115" s="43"/>
      <c r="F115" s="43"/>
      <c r="G115" s="43"/>
      <c r="H115" s="45"/>
      <c r="I115" s="43"/>
      <c r="J115" s="43"/>
      <c r="K115" s="43"/>
      <c r="L115" s="43"/>
      <c r="M115" s="43"/>
    </row>
    <row r="116" spans="1:13" ht="12" hidden="1" customHeight="1" x14ac:dyDescent="0.2">
      <c r="A116" s="43" t="s">
        <v>38</v>
      </c>
      <c r="B116" s="43"/>
      <c r="C116" s="41"/>
      <c r="D116" s="41"/>
      <c r="E116" s="41"/>
      <c r="F116" s="41"/>
      <c r="G116" s="41"/>
      <c r="H116" s="42"/>
      <c r="I116" s="41"/>
      <c r="J116" s="41"/>
      <c r="K116" s="41"/>
      <c r="L116" s="41"/>
      <c r="M116" s="41"/>
    </row>
    <row r="117" spans="1:13" ht="12" hidden="1" customHeight="1" x14ac:dyDescent="0.2">
      <c r="A117" s="43">
        <f>A105</f>
        <v>4545</v>
      </c>
      <c r="B117" s="43"/>
      <c r="C117" s="41">
        <f>C$85*(C$93-C$20-C$18)</f>
        <v>3482.34</v>
      </c>
      <c r="D117" s="41">
        <f>D$85*(D$93-D$20-D$18)</f>
        <v>381</v>
      </c>
      <c r="E117" s="41">
        <f>E$85*(E$93-E$20-E$18)</f>
        <v>381</v>
      </c>
      <c r="F117" s="41">
        <f>F$85*(F$93-F$20-F$18)</f>
        <v>381</v>
      </c>
      <c r="G117" s="41">
        <f>G$85*(G$93-G$20-G$18)</f>
        <v>381</v>
      </c>
      <c r="H117" s="42"/>
      <c r="I117" s="41">
        <f>I$85*(I$93-I$20-I$18)</f>
        <v>9339.2579279999991</v>
      </c>
      <c r="J117" s="41">
        <f>J$85*(J$93-J$20-J$18)</f>
        <v>6311.1294020999994</v>
      </c>
      <c r="K117" s="41">
        <f>K$85*(K$93-K$20-K$18)</f>
        <v>6311.1294020999994</v>
      </c>
      <c r="L117" s="41">
        <f>L$85*(L$93-L$20-L$18)</f>
        <v>6311.1294020999994</v>
      </c>
      <c r="M117" s="41">
        <f>M$85*(M$93-M$20-M$18)</f>
        <v>6384.340876199999</v>
      </c>
    </row>
    <row r="118" spans="1:13" ht="12" hidden="1" customHeight="1" x14ac:dyDescent="0.2">
      <c r="A118" s="43">
        <f t="shared" ref="A118:A126" si="53">A106</f>
        <v>4540</v>
      </c>
      <c r="B118" s="43"/>
      <c r="C118" s="41">
        <f>C$85*(C$93-C$65)+C$84*(C$65-C$20-C$18)</f>
        <v>-3199.5800000000017</v>
      </c>
      <c r="D118" s="41">
        <f>D$85*(D$93-D$65)+D$84*(D$65-D$20-D$18)</f>
        <v>-4912.1200000000026</v>
      </c>
      <c r="E118" s="41">
        <f>E$85*(E$93-E$65)+E$84*(E$65-E$20-E$18)</f>
        <v>-3512.119999999999</v>
      </c>
      <c r="F118" s="41">
        <f>F$85*(F$93-F$65)+F$84*(F$65-F$20-F$18)</f>
        <v>-1617.08</v>
      </c>
      <c r="G118" s="41">
        <f>G$85*(G$93-G$65)+G$84*(G$65-G$20-G$18)</f>
        <v>-84.920000000000073</v>
      </c>
      <c r="H118" s="42"/>
      <c r="I118" s="41">
        <f>I$85*(I$93-I$65)+I$84*(I$65-I$20-I$18)</f>
        <v>323.25792800000636</v>
      </c>
      <c r="J118" s="41">
        <f>J$85*(J$93-J$65)+J$84*(J$65-J$20-J$18)</f>
        <v>-2716.0705978999977</v>
      </c>
      <c r="K118" s="41">
        <f>K$85*(K$93-K$65)+K$84*(K$65-K$20-K$18)</f>
        <v>-2716.0705978999977</v>
      </c>
      <c r="L118" s="41">
        <f>L$85*(L$93-L$65)+L$84*(L$65-L$20-L$18)</f>
        <v>-2716.0705978999977</v>
      </c>
      <c r="M118" s="41">
        <f>M$85*(M$93-M$65)+M$84*(M$65-M$20-M$18)</f>
        <v>-2642.8591238000008</v>
      </c>
    </row>
    <row r="119" spans="1:13" ht="12" hidden="1" customHeight="1" x14ac:dyDescent="0.2">
      <c r="A119" s="43">
        <f t="shared" si="53"/>
        <v>4520</v>
      </c>
      <c r="B119" s="43"/>
      <c r="C119" s="41">
        <f>C$85*(C$93-C$65)+C$84*(C$65-C$64)+C$83*(C$64-C$20-C$18)</f>
        <v>-3529.5800000000017</v>
      </c>
      <c r="D119" s="41">
        <f>D$85*(D$93-D$65)+D$84*(D$65-D$64)+D$83*(D$64-D$20-D$18)</f>
        <v>857.87999999999738</v>
      </c>
      <c r="E119" s="41">
        <f>E$85*(E$93-E$65)+E$84*(E$65-E$64)+E$83*(E$64-E$20-E$18)</f>
        <v>8507.880000000001</v>
      </c>
      <c r="F119" s="41">
        <f>F$85*(F$93-F$65)+F$84*(F$65-F$64)+F$83*(F$64-F$20-F$18)</f>
        <v>18862.919999999998</v>
      </c>
      <c r="G119" s="41">
        <f>G$85*(G$93-G$65)+G$84*(G$65-G$64)+G$83*(G$64-G$20-G$18)</f>
        <v>27235.08</v>
      </c>
      <c r="H119" s="42"/>
      <c r="I119" s="41">
        <f>I$85*(I$93-I$65)+I$84*(I$65-I$64)+I$83*(I$64-I$20-I$18)</f>
        <v>-10426.742071999994</v>
      </c>
      <c r="J119" s="41">
        <f>J$85*(J$93-J$65)+J$84*(J$65-J$64)+J$83*(J$64-J$20-J$18)</f>
        <v>-13616.070597899998</v>
      </c>
      <c r="K119" s="41">
        <f>K$85*(K$93-K$65)+K$84*(K$65-K$64)+K$83*(K$64-K$20-K$18)</f>
        <v>-13616.070597899998</v>
      </c>
      <c r="L119" s="41">
        <f>L$85*(L$93-L$65)+L$84*(L$65-L$64)+L$83*(L$64-L$20-L$18)</f>
        <v>-13616.070597899998</v>
      </c>
      <c r="M119" s="41">
        <f>M$85*(M$93-M$65)+M$84*(M$65-M$64)+M$83*(M$64-M$20-M$18)</f>
        <v>-13542.859123800001</v>
      </c>
    </row>
    <row r="120" spans="1:13" ht="12" hidden="1" customHeight="1" x14ac:dyDescent="0.2">
      <c r="A120" s="43">
        <f t="shared" si="53"/>
        <v>4500</v>
      </c>
      <c r="B120" s="43"/>
      <c r="C120" s="41">
        <f>C$85*(C$93-C$65)+C$84*(C$65-C$64)+C$83*(C$64-C$63)+C$81*(C$63-C$20-C$18)</f>
        <v>-1228.5800000000017</v>
      </c>
      <c r="D120" s="41">
        <f>D$85*(D$93-D$65)+D$84*(D$65-D$64)+D$83*(D$64-D$63)+D$81*(D$63-D$20-D$18)</f>
        <v>5018.8799999999974</v>
      </c>
      <c r="E120" s="41">
        <f>E$85*(E$93-E$65)+E$84*(E$65-E$64)+E$83*(E$64-E$63)+E$81*(E$63-E$20-E$18)</f>
        <v>14543.880000000001</v>
      </c>
      <c r="F120" s="41">
        <f>F$85*(F$93-F$65)+F$84*(F$65-F$64)+F$83*(F$64-F$63)+F$81*(F$63-F$20-F$18)</f>
        <v>27436.92</v>
      </c>
      <c r="G120" s="41">
        <f>G$85*(G$93-G$65)+G$84*(G$65-G$64)+G$83*(G$64-G$63)+G$81*(G$63-G$20-G$18)</f>
        <v>37861.08</v>
      </c>
      <c r="H120" s="42"/>
      <c r="I120" s="41">
        <f>I$85*(I$93-I$65)+I$84*(I$65-I$64)+I$83*(I$64-I$63)+I$81*(I$63-I$20-I$18)</f>
        <v>-11251.742071999994</v>
      </c>
      <c r="J120" s="41">
        <f>J$85*(J$93-J$65)+J$84*(J$65-J$64)+J$83*(J$64-J$63)+J$81*(J$63-J$20-J$18)</f>
        <v>-14456.070597899998</v>
      </c>
      <c r="K120" s="41">
        <f>K$85*(K$93-K$65)+K$84*(K$65-K$64)+K$83*(K$64-K$63)+K$81*(K$63-K$20-K$18)</f>
        <v>-14456.070597899998</v>
      </c>
      <c r="L120" s="41">
        <f>L$85*(L$93-L$65)+L$84*(L$65-L$64)+L$83*(L$64-L$63)+L$81*(L$63-L$20-L$18)</f>
        <v>-14456.070597899998</v>
      </c>
      <c r="M120" s="41">
        <f>M$85*(M$93-M$65)+M$84*(M$65-M$64)+M$83*(M$64-M$63)+M$81*(M$63-M$20-M$18)</f>
        <v>-14382.859123800001</v>
      </c>
    </row>
    <row r="121" spans="1:13" ht="12" hidden="1" customHeight="1" x14ac:dyDescent="0.2">
      <c r="A121" s="43">
        <f t="shared" si="53"/>
        <v>4040</v>
      </c>
      <c r="B121" s="43"/>
      <c r="C121" s="41">
        <f>C$84*(C$93-C$20-C$18)</f>
        <v>2970.5</v>
      </c>
      <c r="D121" s="41">
        <f>D$84*(D$93-D$20-D$18)</f>
        <v>325</v>
      </c>
      <c r="E121" s="41">
        <f>E$84*(E$93-E$20-E$18)</f>
        <v>325</v>
      </c>
      <c r="F121" s="41">
        <f>F$84*(F$93-F$20-F$18)</f>
        <v>325</v>
      </c>
      <c r="G121" s="41">
        <f>G$84*(G$93-G$20-G$18)</f>
        <v>325</v>
      </c>
      <c r="H121" s="42"/>
      <c r="I121" s="41">
        <f>I$84*(I$93-I$20-I$18)</f>
        <v>7966.5585999999994</v>
      </c>
      <c r="J121" s="41">
        <f>J$84*(J$93-J$20-J$18)</f>
        <v>5383.5093324999998</v>
      </c>
      <c r="K121" s="41">
        <f>K$84*(K$93-K$20-K$18)</f>
        <v>5383.5093324999998</v>
      </c>
      <c r="L121" s="41">
        <f>L$84*(L$93-L$20-L$18)</f>
        <v>5383.5093324999998</v>
      </c>
      <c r="M121" s="41">
        <f>M$84*(M$93-M$20-M$18)</f>
        <v>5445.9600649999993</v>
      </c>
    </row>
    <row r="122" spans="1:13" ht="12" hidden="1" customHeight="1" x14ac:dyDescent="0.2">
      <c r="A122" s="43">
        <f t="shared" si="53"/>
        <v>4020</v>
      </c>
      <c r="B122" s="43"/>
      <c r="C122" s="41">
        <f>C$84*(C$93-C$64)+C$83*(C$64-C$20-C$18)</f>
        <v>2640.5</v>
      </c>
      <c r="D122" s="41">
        <f>D$84*(D$93-D$64)+D$83*(D$64-D$20-D$18)</f>
        <v>6095</v>
      </c>
      <c r="E122" s="41">
        <f>E$84*(E$93-E$64)+E$83*(E$64-E$20-E$18)</f>
        <v>12345</v>
      </c>
      <c r="F122" s="41">
        <f>F$84*(F$93-F$64)+F$83*(F$64-F$20-F$18)</f>
        <v>20805</v>
      </c>
      <c r="G122" s="41">
        <f>G$84*(G$93-G$64)+G$83*(G$64-G$20-G$18)</f>
        <v>27645</v>
      </c>
      <c r="H122" s="42"/>
      <c r="I122" s="41">
        <f>I$84*(I$93-I$64)+I$83*(I$64-I$20-I$18)</f>
        <v>-2783.4414000000006</v>
      </c>
      <c r="J122" s="41">
        <f>J$84*(J$93-J$64)+J$83*(J$64-J$20-J$18)</f>
        <v>-5516.4906675000002</v>
      </c>
      <c r="K122" s="41">
        <f>K$84*(K$93-K$64)+K$83*(K$64-K$20-K$18)</f>
        <v>-5516.4906675000002</v>
      </c>
      <c r="L122" s="41">
        <f>L$84*(L$93-L$64)+L$83*(L$64-L$20-L$18)</f>
        <v>-5516.4906675000002</v>
      </c>
      <c r="M122" s="41">
        <f>M$84*(M$93-M$64)+M$83*(M$64-M$20-M$18)</f>
        <v>-5454.0399350000007</v>
      </c>
    </row>
    <row r="123" spans="1:13" ht="12" hidden="1" customHeight="1" x14ac:dyDescent="0.2">
      <c r="A123" s="43">
        <f t="shared" si="53"/>
        <v>4000</v>
      </c>
      <c r="B123" s="43"/>
      <c r="C123" s="41">
        <f>C$84*(C$93-C$64)+C$83*(C$64-C$63)+C$82*(C$63-C$20-C$18)</f>
        <v>4941.5</v>
      </c>
      <c r="D123" s="41">
        <f>D$84*(D$93-D$64)+D$83*(D$64-D$63)+D$82*(D$63-D$20-D$18)</f>
        <v>10256</v>
      </c>
      <c r="E123" s="41">
        <f>E$84*(E$93-E$64)+E$83*(E$64-E$63)+E$82*(E$63-E$20-E$18)</f>
        <v>18381</v>
      </c>
      <c r="F123" s="41">
        <f>F$84*(F$93-F$64)+F$83*(F$64-F$63)+F$82*(F$63-F$20-F$18)</f>
        <v>29379</v>
      </c>
      <c r="G123" s="41">
        <f>G$84*(G$93-G$64)+G$83*(G$64-G$63)+G$82*(G$63-G$20-G$18)</f>
        <v>38271</v>
      </c>
      <c r="H123" s="42"/>
      <c r="I123" s="41">
        <f>I$84*(I$93-I$64)+I$83*(I$64-I$63)+I$82*(I$63-I$20-I$18)</f>
        <v>-3608.4414000000006</v>
      </c>
      <c r="J123" s="41">
        <f>J$84*(J$93-J$64)+J$83*(J$64-J$63)+J$82*(J$63-J$20-J$18)</f>
        <v>-6356.4906675000002</v>
      </c>
      <c r="K123" s="41">
        <f>K$84*(K$93-K$64)+K$83*(K$64-K$63)+K$82*(K$63-K$20-K$18)</f>
        <v>-6356.4906675000002</v>
      </c>
      <c r="L123" s="41">
        <f>L$84*(L$93-L$64)+L$83*(L$64-L$63)+L$82*(L$63-L$20-L$18)</f>
        <v>-6356.4906675000002</v>
      </c>
      <c r="M123" s="41">
        <f>M$84*(M$93-M$64)+M$83*(M$64-M$63)+M$82*(M$63-M$20-M$18)</f>
        <v>-6294.0399350000007</v>
      </c>
    </row>
    <row r="124" spans="1:13" ht="12" hidden="1" customHeight="1" x14ac:dyDescent="0.2">
      <c r="A124" s="43">
        <f t="shared" si="53"/>
        <v>2020</v>
      </c>
      <c r="B124" s="43"/>
      <c r="C124" s="41">
        <f>C$83*(C$93-C$20-C$18)</f>
        <v>685.5</v>
      </c>
      <c r="D124" s="41">
        <f>D$83*(D$93-D$20-D$18)</f>
        <v>75</v>
      </c>
      <c r="E124" s="41">
        <f>E$83*(E$93-E$20-E$18)</f>
        <v>75</v>
      </c>
      <c r="F124" s="41">
        <f>F$83*(F$93-F$20-F$18)</f>
        <v>75</v>
      </c>
      <c r="G124" s="41">
        <f>G$83*(G$93-G$20-G$18)</f>
        <v>75</v>
      </c>
      <c r="H124" s="42"/>
      <c r="I124" s="41">
        <f>I$83*(I$93-I$20-I$18)</f>
        <v>1838.4365999999998</v>
      </c>
      <c r="J124" s="41">
        <f>J$83*(J$93-J$20-J$18)</f>
        <v>1242.3483074999997</v>
      </c>
      <c r="K124" s="41">
        <f>K$83*(K$93-K$20-K$18)</f>
        <v>1242.3483074999997</v>
      </c>
      <c r="L124" s="41">
        <f>L$83*(L$93-L$20-L$18)</f>
        <v>1242.3483074999997</v>
      </c>
      <c r="M124" s="41">
        <f>M$83*(M$93-M$20-M$18)</f>
        <v>1256.7600149999998</v>
      </c>
    </row>
    <row r="125" spans="1:13" ht="12" hidden="1" customHeight="1" x14ac:dyDescent="0.2">
      <c r="A125" s="43">
        <f t="shared" si="53"/>
        <v>2000</v>
      </c>
      <c r="B125" s="43"/>
      <c r="C125" s="41">
        <f>C$83*(C$93-C$63)+C$82*(C$63-C$20-C$18)</f>
        <v>2986.5</v>
      </c>
      <c r="D125" s="41">
        <f>D$83*(D$93-D$63)+D$82*(D$63-D$20-D$18)</f>
        <v>4236</v>
      </c>
      <c r="E125" s="41">
        <f>E$83*(E$93-E$63)+E$82*(E$63-E$20-E$18)</f>
        <v>6111</v>
      </c>
      <c r="F125" s="41">
        <f>F$83*(F$93-F$63)+F$82*(F$63-F$20-F$18)</f>
        <v>8649</v>
      </c>
      <c r="G125" s="41">
        <f>G$83*(G$93-G$63)+G$82*(G$63-G$20-G$18)</f>
        <v>10701</v>
      </c>
      <c r="H125" s="42"/>
      <c r="I125" s="41">
        <f>I$83*(I$93-I$63)+I$82*(I$63-I$20-I$18)</f>
        <v>1013.4365999999998</v>
      </c>
      <c r="J125" s="41">
        <f>J$83*(J$93-J$63)+J$82*(J$63-J$20-J$18)</f>
        <v>402.34830749999981</v>
      </c>
      <c r="K125" s="41">
        <f>K$83*(K$93-K$63)+K$82*(K$63-K$20-K$18)</f>
        <v>402.34830749999981</v>
      </c>
      <c r="L125" s="41">
        <f>L$83*(L$93-L$63)+L$82*(L$63-L$20-L$18)</f>
        <v>402.34830749999981</v>
      </c>
      <c r="M125" s="41">
        <f>M$83*(M$93-M$63)+M$82*(M$63-M$20-M$18)</f>
        <v>416.76001499999984</v>
      </c>
    </row>
    <row r="126" spans="1:13" ht="12" hidden="1" customHeight="1" x14ac:dyDescent="0.2">
      <c r="A126" s="43">
        <f t="shared" si="53"/>
        <v>0</v>
      </c>
      <c r="B126" s="43"/>
      <c r="C126" s="41"/>
      <c r="D126" s="41"/>
      <c r="E126" s="41"/>
      <c r="F126" s="41"/>
      <c r="G126" s="41"/>
      <c r="H126" s="42"/>
      <c r="I126" s="41"/>
      <c r="J126" s="41"/>
      <c r="K126" s="41"/>
      <c r="L126" s="41"/>
      <c r="M126" s="41"/>
    </row>
    <row r="127" spans="1:13" ht="12" hidden="1" customHeight="1" x14ac:dyDescent="0.2">
      <c r="A127" s="43"/>
      <c r="B127" s="43"/>
      <c r="C127" s="43"/>
      <c r="D127" s="43"/>
      <c r="E127" s="43"/>
      <c r="F127" s="43"/>
      <c r="G127" s="43"/>
      <c r="H127" s="45"/>
      <c r="I127" s="43"/>
      <c r="J127" s="43"/>
      <c r="K127" s="43"/>
      <c r="L127" s="43"/>
      <c r="M127" s="43"/>
    </row>
    <row r="128" spans="1:13" ht="12" hidden="1" customHeight="1" x14ac:dyDescent="0.2">
      <c r="A128" s="43" t="s">
        <v>39</v>
      </c>
      <c r="B128" s="43"/>
      <c r="C128" s="43"/>
      <c r="D128" s="43"/>
      <c r="E128" s="43"/>
      <c r="F128" s="43"/>
      <c r="G128" s="43"/>
      <c r="H128" s="45"/>
      <c r="I128" s="43"/>
      <c r="J128" s="43"/>
      <c r="K128" s="43"/>
      <c r="L128" s="43"/>
      <c r="M128" s="43"/>
    </row>
    <row r="129" spans="1:16" ht="12" hidden="1" customHeight="1" x14ac:dyDescent="0.2">
      <c r="A129" s="43">
        <f>A117</f>
        <v>4545</v>
      </c>
      <c r="B129" s="43"/>
      <c r="C129" s="41">
        <f>C117*C105</f>
        <v>0</v>
      </c>
      <c r="D129" s="41">
        <f t="shared" ref="D129:G129" si="54">D117*D105</f>
        <v>0</v>
      </c>
      <c r="E129" s="41">
        <f t="shared" si="54"/>
        <v>0</v>
      </c>
      <c r="F129" s="41">
        <f t="shared" si="54"/>
        <v>0</v>
      </c>
      <c r="G129" s="41">
        <f t="shared" si="54"/>
        <v>0</v>
      </c>
      <c r="H129" s="42"/>
      <c r="I129" s="41">
        <f t="shared" ref="I129:M137" si="55">I117*I105</f>
        <v>0</v>
      </c>
      <c r="J129" s="41">
        <f t="shared" si="55"/>
        <v>0</v>
      </c>
      <c r="K129" s="41">
        <f t="shared" si="55"/>
        <v>0</v>
      </c>
      <c r="L129" s="41">
        <f t="shared" si="55"/>
        <v>0</v>
      </c>
      <c r="M129" s="41">
        <f t="shared" si="55"/>
        <v>0</v>
      </c>
    </row>
    <row r="130" spans="1:16" ht="12" hidden="1" customHeight="1" x14ac:dyDescent="0.2">
      <c r="A130" s="43">
        <f t="shared" ref="A130:A138" si="56">A118</f>
        <v>4540</v>
      </c>
      <c r="B130" s="43"/>
      <c r="C130" s="41">
        <f t="shared" ref="C130:G137" si="57">C118*C106</f>
        <v>0</v>
      </c>
      <c r="D130" s="41">
        <f t="shared" si="57"/>
        <v>0</v>
      </c>
      <c r="E130" s="41">
        <f t="shared" si="57"/>
        <v>0</v>
      </c>
      <c r="F130" s="41">
        <f t="shared" si="57"/>
        <v>0</v>
      </c>
      <c r="G130" s="41">
        <f t="shared" si="57"/>
        <v>0</v>
      </c>
      <c r="H130" s="42"/>
      <c r="I130" s="41">
        <f t="shared" si="55"/>
        <v>0</v>
      </c>
      <c r="J130" s="41">
        <f t="shared" si="55"/>
        <v>0</v>
      </c>
      <c r="K130" s="41">
        <f t="shared" si="55"/>
        <v>0</v>
      </c>
      <c r="L130" s="41">
        <f t="shared" si="55"/>
        <v>0</v>
      </c>
      <c r="M130" s="41">
        <f t="shared" si="55"/>
        <v>0</v>
      </c>
    </row>
    <row r="131" spans="1:16" ht="12" hidden="1" customHeight="1" x14ac:dyDescent="0.2">
      <c r="A131" s="43">
        <f t="shared" si="56"/>
        <v>4520</v>
      </c>
      <c r="B131" s="43"/>
      <c r="C131" s="41">
        <f t="shared" si="57"/>
        <v>0</v>
      </c>
      <c r="D131" s="41">
        <f t="shared" si="57"/>
        <v>0</v>
      </c>
      <c r="E131" s="41">
        <f t="shared" si="57"/>
        <v>0</v>
      </c>
      <c r="F131" s="41">
        <f t="shared" si="57"/>
        <v>0</v>
      </c>
      <c r="G131" s="41">
        <f t="shared" si="57"/>
        <v>0</v>
      </c>
      <c r="H131" s="42"/>
      <c r="I131" s="41">
        <f t="shared" si="55"/>
        <v>0</v>
      </c>
      <c r="J131" s="41">
        <f t="shared" si="55"/>
        <v>0</v>
      </c>
      <c r="K131" s="41">
        <f t="shared" si="55"/>
        <v>0</v>
      </c>
      <c r="L131" s="41">
        <f t="shared" si="55"/>
        <v>0</v>
      </c>
      <c r="M131" s="41">
        <f t="shared" si="55"/>
        <v>0</v>
      </c>
    </row>
    <row r="132" spans="1:16" ht="12" hidden="1" customHeight="1" x14ac:dyDescent="0.2">
      <c r="A132" s="43">
        <f t="shared" si="56"/>
        <v>4500</v>
      </c>
      <c r="B132" s="43"/>
      <c r="C132" s="41">
        <f t="shared" si="57"/>
        <v>0</v>
      </c>
      <c r="D132" s="41">
        <f t="shared" si="57"/>
        <v>0</v>
      </c>
      <c r="E132" s="41">
        <f t="shared" si="57"/>
        <v>0</v>
      </c>
      <c r="F132" s="41">
        <f t="shared" si="57"/>
        <v>0</v>
      </c>
      <c r="G132" s="41">
        <f t="shared" si="57"/>
        <v>0</v>
      </c>
      <c r="H132" s="42"/>
      <c r="I132" s="41">
        <f t="shared" si="55"/>
        <v>0</v>
      </c>
      <c r="J132" s="41">
        <f t="shared" si="55"/>
        <v>0</v>
      </c>
      <c r="K132" s="41">
        <f t="shared" si="55"/>
        <v>0</v>
      </c>
      <c r="L132" s="41">
        <f t="shared" si="55"/>
        <v>0</v>
      </c>
      <c r="M132" s="41">
        <f t="shared" si="55"/>
        <v>0</v>
      </c>
    </row>
    <row r="133" spans="1:16" ht="12" hidden="1" customHeight="1" x14ac:dyDescent="0.2">
      <c r="A133" s="43">
        <f t="shared" si="56"/>
        <v>4040</v>
      </c>
      <c r="B133" s="43"/>
      <c r="C133" s="41">
        <f t="shared" si="57"/>
        <v>0</v>
      </c>
      <c r="D133" s="41">
        <f t="shared" si="57"/>
        <v>325</v>
      </c>
      <c r="E133" s="41">
        <f t="shared" si="57"/>
        <v>325</v>
      </c>
      <c r="F133" s="41">
        <f t="shared" si="57"/>
        <v>325</v>
      </c>
      <c r="G133" s="41">
        <f t="shared" si="57"/>
        <v>325</v>
      </c>
      <c r="H133" s="42"/>
      <c r="I133" s="41">
        <f t="shared" si="55"/>
        <v>0</v>
      </c>
      <c r="J133" s="41">
        <f t="shared" si="55"/>
        <v>0</v>
      </c>
      <c r="K133" s="41">
        <f t="shared" si="55"/>
        <v>0</v>
      </c>
      <c r="L133" s="41">
        <f t="shared" si="55"/>
        <v>0</v>
      </c>
      <c r="M133" s="41">
        <f t="shared" si="55"/>
        <v>0</v>
      </c>
    </row>
    <row r="134" spans="1:16" ht="12" hidden="1" customHeight="1" x14ac:dyDescent="0.2">
      <c r="A134" s="43">
        <f t="shared" si="56"/>
        <v>4020</v>
      </c>
      <c r="B134" s="43"/>
      <c r="C134" s="41">
        <f t="shared" si="57"/>
        <v>2640.5</v>
      </c>
      <c r="D134" s="41">
        <f t="shared" si="57"/>
        <v>0</v>
      </c>
      <c r="E134" s="41">
        <f t="shared" si="57"/>
        <v>0</v>
      </c>
      <c r="F134" s="41">
        <f t="shared" si="57"/>
        <v>0</v>
      </c>
      <c r="G134" s="41">
        <f t="shared" si="57"/>
        <v>0</v>
      </c>
      <c r="H134" s="42"/>
      <c r="I134" s="41">
        <f t="shared" si="55"/>
        <v>0</v>
      </c>
      <c r="J134" s="41">
        <f t="shared" si="55"/>
        <v>0</v>
      </c>
      <c r="K134" s="41">
        <f t="shared" si="55"/>
        <v>0</v>
      </c>
      <c r="L134" s="41">
        <f t="shared" si="55"/>
        <v>0</v>
      </c>
      <c r="M134" s="41">
        <f t="shared" si="55"/>
        <v>0</v>
      </c>
    </row>
    <row r="135" spans="1:16" ht="12" hidden="1" customHeight="1" x14ac:dyDescent="0.2">
      <c r="A135" s="43">
        <f t="shared" si="56"/>
        <v>4000</v>
      </c>
      <c r="B135" s="43"/>
      <c r="C135" s="41">
        <f t="shared" si="57"/>
        <v>0</v>
      </c>
      <c r="D135" s="41">
        <f t="shared" si="57"/>
        <v>0</v>
      </c>
      <c r="E135" s="41">
        <f t="shared" si="57"/>
        <v>0</v>
      </c>
      <c r="F135" s="41">
        <f t="shared" si="57"/>
        <v>0</v>
      </c>
      <c r="G135" s="41">
        <f t="shared" si="57"/>
        <v>0</v>
      </c>
      <c r="H135" s="42"/>
      <c r="I135" s="41">
        <f t="shared" si="55"/>
        <v>0</v>
      </c>
      <c r="J135" s="41">
        <f t="shared" si="55"/>
        <v>0</v>
      </c>
      <c r="K135" s="41">
        <f t="shared" si="55"/>
        <v>0</v>
      </c>
      <c r="L135" s="41">
        <f t="shared" si="55"/>
        <v>0</v>
      </c>
      <c r="M135" s="41">
        <f t="shared" si="55"/>
        <v>0</v>
      </c>
    </row>
    <row r="136" spans="1:16" ht="12" hidden="1" customHeight="1" x14ac:dyDescent="0.2">
      <c r="A136" s="43">
        <f t="shared" si="56"/>
        <v>2020</v>
      </c>
      <c r="B136" s="43"/>
      <c r="C136" s="41">
        <f t="shared" si="57"/>
        <v>0</v>
      </c>
      <c r="D136" s="41">
        <f t="shared" si="57"/>
        <v>0</v>
      </c>
      <c r="E136" s="41">
        <f t="shared" si="57"/>
        <v>0</v>
      </c>
      <c r="F136" s="41">
        <f t="shared" si="57"/>
        <v>0</v>
      </c>
      <c r="G136" s="41">
        <f t="shared" si="57"/>
        <v>0</v>
      </c>
      <c r="H136" s="42"/>
      <c r="I136" s="41">
        <f t="shared" si="55"/>
        <v>0</v>
      </c>
      <c r="J136" s="41">
        <f t="shared" si="55"/>
        <v>0</v>
      </c>
      <c r="K136" s="41">
        <f t="shared" si="55"/>
        <v>0</v>
      </c>
      <c r="L136" s="41">
        <f t="shared" si="55"/>
        <v>0</v>
      </c>
      <c r="M136" s="41">
        <f t="shared" si="55"/>
        <v>0</v>
      </c>
    </row>
    <row r="137" spans="1:16" ht="12" hidden="1" customHeight="1" x14ac:dyDescent="0.2">
      <c r="A137" s="43">
        <f t="shared" si="56"/>
        <v>2000</v>
      </c>
      <c r="B137" s="43"/>
      <c r="C137" s="41">
        <f t="shared" si="57"/>
        <v>0</v>
      </c>
      <c r="D137" s="41">
        <f t="shared" si="57"/>
        <v>0</v>
      </c>
      <c r="E137" s="41">
        <f t="shared" si="57"/>
        <v>0</v>
      </c>
      <c r="F137" s="41">
        <f t="shared" si="57"/>
        <v>0</v>
      </c>
      <c r="G137" s="41">
        <f t="shared" si="57"/>
        <v>0</v>
      </c>
      <c r="H137" s="42"/>
      <c r="I137" s="41">
        <f t="shared" si="55"/>
        <v>1013.4365999999998</v>
      </c>
      <c r="J137" s="41">
        <f t="shared" si="55"/>
        <v>402.34830749999981</v>
      </c>
      <c r="K137" s="41">
        <f t="shared" si="55"/>
        <v>402.34830749999981</v>
      </c>
      <c r="L137" s="41">
        <f t="shared" si="55"/>
        <v>402.34830749999981</v>
      </c>
      <c r="M137" s="41">
        <f t="shared" si="55"/>
        <v>416.76001499999984</v>
      </c>
    </row>
    <row r="138" spans="1:16" ht="12" hidden="1" customHeight="1" x14ac:dyDescent="0.2">
      <c r="A138" s="43">
        <f t="shared" si="56"/>
        <v>0</v>
      </c>
      <c r="B138" s="43"/>
      <c r="C138" s="41">
        <f t="shared" ref="C138" si="58">C127*C114</f>
        <v>0</v>
      </c>
      <c r="D138" s="41"/>
      <c r="E138" s="41"/>
      <c r="F138" s="41"/>
      <c r="G138" s="41"/>
      <c r="H138" s="42"/>
      <c r="I138" s="41"/>
      <c r="J138" s="41"/>
      <c r="K138" s="41"/>
      <c r="L138" s="41"/>
      <c r="M138" s="41"/>
    </row>
    <row r="139" spans="1:16" ht="12" hidden="1" customHeight="1" x14ac:dyDescent="0.2">
      <c r="A139" s="43"/>
      <c r="B139" s="43"/>
      <c r="C139" s="41">
        <f>SUM(C129:C138)</f>
        <v>2640.5</v>
      </c>
      <c r="D139" s="41">
        <f t="shared" ref="D139:G139" si="59">SUM(D129:D138)</f>
        <v>325</v>
      </c>
      <c r="E139" s="41">
        <f t="shared" si="59"/>
        <v>325</v>
      </c>
      <c r="F139" s="41">
        <f t="shared" si="59"/>
        <v>325</v>
      </c>
      <c r="G139" s="41">
        <f t="shared" si="59"/>
        <v>325</v>
      </c>
      <c r="H139" s="42"/>
      <c r="I139" s="41">
        <f t="shared" ref="I139:M139" si="60">SUM(I129:I138)</f>
        <v>1013.4365999999998</v>
      </c>
      <c r="J139" s="41">
        <f t="shared" si="60"/>
        <v>402.34830749999981</v>
      </c>
      <c r="K139" s="41">
        <f t="shared" si="60"/>
        <v>402.34830749999981</v>
      </c>
      <c r="L139" s="41">
        <f t="shared" si="60"/>
        <v>402.34830749999981</v>
      </c>
      <c r="M139" s="41">
        <f t="shared" si="60"/>
        <v>416.76001499999984</v>
      </c>
    </row>
    <row r="140" spans="1:16" ht="12" hidden="1" customHeight="1" x14ac:dyDescent="0.2">
      <c r="A140" s="43"/>
      <c r="B140" s="43"/>
      <c r="C140" s="41"/>
      <c r="D140" s="41"/>
      <c r="E140" s="41"/>
      <c r="F140" s="41"/>
      <c r="G140" s="41"/>
      <c r="H140" s="45"/>
      <c r="I140" s="43"/>
      <c r="J140" s="43"/>
      <c r="K140" s="43"/>
      <c r="L140" s="43"/>
      <c r="M140" s="43"/>
    </row>
    <row r="141" spans="1:16" ht="12" hidden="1" customHeight="1" x14ac:dyDescent="0.2">
      <c r="A141" s="93" t="s">
        <v>125</v>
      </c>
      <c r="B141" s="43"/>
      <c r="C141" s="41"/>
      <c r="D141" s="41"/>
      <c r="E141" s="41"/>
      <c r="F141" s="41"/>
      <c r="G141" s="41"/>
      <c r="H141" s="45"/>
      <c r="I141" s="43"/>
      <c r="J141" s="43"/>
      <c r="K141" s="43"/>
      <c r="L141" s="43"/>
      <c r="M141" s="43"/>
    </row>
    <row r="142" spans="1:16" ht="12" hidden="1" customHeight="1" x14ac:dyDescent="0.2">
      <c r="A142" s="43" t="s">
        <v>118</v>
      </c>
      <c r="B142" s="43"/>
      <c r="C142" s="41">
        <f>C18+C20</f>
        <v>41680</v>
      </c>
      <c r="D142" s="41">
        <f>D18+D20</f>
        <v>66680</v>
      </c>
      <c r="E142" s="41">
        <f>E18+E20</f>
        <v>91680</v>
      </c>
      <c r="F142" s="41">
        <f>F18+F20</f>
        <v>116680</v>
      </c>
      <c r="G142" s="41">
        <f>G18+G20</f>
        <v>141680</v>
      </c>
      <c r="H142" s="41"/>
      <c r="I142" s="41">
        <f>I18+I20</f>
        <v>0</v>
      </c>
      <c r="J142" s="41">
        <f>J18+J20</f>
        <v>0</v>
      </c>
      <c r="K142" s="41">
        <f>K18+K20</f>
        <v>0</v>
      </c>
      <c r="L142" s="41">
        <f>L18+L20</f>
        <v>0</v>
      </c>
      <c r="M142" s="41">
        <f>M18+M20</f>
        <v>0</v>
      </c>
      <c r="N142" s="5"/>
      <c r="O142" s="5"/>
      <c r="P142" s="5"/>
    </row>
    <row r="143" spans="1:16" ht="12" hidden="1" customHeight="1" x14ac:dyDescent="0.2">
      <c r="A143" s="43" t="s">
        <v>119</v>
      </c>
      <c r="B143" s="43"/>
      <c r="C143" s="41">
        <f>C19+C22</f>
        <v>1000</v>
      </c>
      <c r="D143" s="41">
        <f>D19+D22</f>
        <v>1000</v>
      </c>
      <c r="E143" s="41">
        <f>E19+E22</f>
        <v>1000</v>
      </c>
      <c r="F143" s="41">
        <f>F19+F22</f>
        <v>1000</v>
      </c>
      <c r="G143" s="41">
        <f>G19+G22</f>
        <v>1000</v>
      </c>
      <c r="H143" s="41"/>
      <c r="I143" s="41">
        <f>I19+I22</f>
        <v>16372.487999999999</v>
      </c>
      <c r="J143" s="41">
        <f>J19+J22</f>
        <v>16564.644099999998</v>
      </c>
      <c r="K143" s="41">
        <f>K19+K22</f>
        <v>16564.644099999998</v>
      </c>
      <c r="L143" s="41">
        <f>L19+L22</f>
        <v>16564.644099999998</v>
      </c>
      <c r="M143" s="41">
        <f>M19+M22</f>
        <v>16756.800199999998</v>
      </c>
      <c r="N143" s="5"/>
      <c r="O143" s="5"/>
      <c r="P143" s="5"/>
    </row>
    <row r="144" spans="1:16" ht="12" hidden="1" customHeight="1" x14ac:dyDescent="0.2">
      <c r="A144" s="43" t="s">
        <v>120</v>
      </c>
      <c r="B144" s="43"/>
      <c r="C144" s="41">
        <f>+IF(C143&gt;C86,C86,C143)</f>
        <v>1000</v>
      </c>
      <c r="D144" s="41">
        <f>+IF(D143&gt;D86,D86,D143)</f>
        <v>1000</v>
      </c>
      <c r="E144" s="41">
        <f>+IF(E143&gt;E86,E86,E143)</f>
        <v>1000</v>
      </c>
      <c r="F144" s="41">
        <f>+IF(F143&gt;F86,F86,F143)</f>
        <v>1000</v>
      </c>
      <c r="G144" s="41">
        <f>+IF(G143&gt;G86,G86,G143)</f>
        <v>1000</v>
      </c>
      <c r="H144" s="41"/>
      <c r="I144" s="41">
        <f>+IF(I143&gt;I86,I86,I143)</f>
        <v>5000</v>
      </c>
      <c r="J144" s="41">
        <f>+IF(J143&gt;J86,J86,J143)</f>
        <v>5000</v>
      </c>
      <c r="K144" s="41">
        <f>+IF(K143&gt;K86,K86,K143)</f>
        <v>5000</v>
      </c>
      <c r="L144" s="41">
        <f>+IF(L143&gt;L86,L86,L143)</f>
        <v>5000</v>
      </c>
      <c r="M144" s="41">
        <f>+IF(M143&gt;M86,M86,M143)</f>
        <v>5000</v>
      </c>
    </row>
    <row r="145" spans="1:14" ht="12" hidden="1" customHeight="1" x14ac:dyDescent="0.2">
      <c r="A145" s="43" t="s">
        <v>37</v>
      </c>
      <c r="B145" s="43"/>
      <c r="C145" s="41">
        <v>1</v>
      </c>
      <c r="D145" s="43">
        <v>1</v>
      </c>
      <c r="E145" s="43">
        <v>1</v>
      </c>
      <c r="F145" s="43">
        <v>1</v>
      </c>
      <c r="G145" s="43">
        <v>1</v>
      </c>
      <c r="H145" s="45"/>
      <c r="I145" s="43">
        <v>1</v>
      </c>
      <c r="J145" s="43">
        <v>1</v>
      </c>
      <c r="K145" s="43">
        <v>1</v>
      </c>
      <c r="L145" s="43">
        <v>1</v>
      </c>
      <c r="M145" s="43">
        <v>1</v>
      </c>
    </row>
    <row r="146" spans="1:14" ht="12" hidden="1" customHeight="1" x14ac:dyDescent="0.2">
      <c r="A146" s="43">
        <v>20</v>
      </c>
      <c r="B146" s="43"/>
      <c r="C146" s="41">
        <f t="shared" ref="C146:G148" si="61">+IF(C$142&gt;C63,1,0)</f>
        <v>1</v>
      </c>
      <c r="D146" s="41">
        <f t="shared" si="61"/>
        <v>1</v>
      </c>
      <c r="E146" s="41">
        <f t="shared" si="61"/>
        <v>1</v>
      </c>
      <c r="F146" s="41">
        <f t="shared" si="61"/>
        <v>1</v>
      </c>
      <c r="G146" s="41">
        <f t="shared" si="61"/>
        <v>1</v>
      </c>
      <c r="H146" s="41"/>
      <c r="I146" s="41">
        <f t="shared" ref="I146:M148" si="62">+IF(I$142&gt;I63,1,0)</f>
        <v>0</v>
      </c>
      <c r="J146" s="41">
        <f t="shared" si="62"/>
        <v>0</v>
      </c>
      <c r="K146" s="41">
        <f t="shared" si="62"/>
        <v>0</v>
      </c>
      <c r="L146" s="41">
        <f t="shared" si="62"/>
        <v>0</v>
      </c>
      <c r="M146" s="41">
        <f t="shared" si="62"/>
        <v>0</v>
      </c>
      <c r="N146" s="5"/>
    </row>
    <row r="147" spans="1:14" ht="12" hidden="1" customHeight="1" x14ac:dyDescent="0.2">
      <c r="A147" s="43">
        <v>40</v>
      </c>
      <c r="B147" s="43"/>
      <c r="C147" s="41">
        <f t="shared" si="61"/>
        <v>0</v>
      </c>
      <c r="D147" s="41">
        <f t="shared" si="61"/>
        <v>1</v>
      </c>
      <c r="E147" s="41">
        <f t="shared" si="61"/>
        <v>1</v>
      </c>
      <c r="F147" s="41">
        <f t="shared" si="61"/>
        <v>1</v>
      </c>
      <c r="G147" s="41">
        <f t="shared" si="61"/>
        <v>1</v>
      </c>
      <c r="H147" s="41"/>
      <c r="I147" s="41">
        <f t="shared" si="62"/>
        <v>0</v>
      </c>
      <c r="J147" s="41">
        <f t="shared" si="62"/>
        <v>0</v>
      </c>
      <c r="K147" s="41">
        <f t="shared" si="62"/>
        <v>0</v>
      </c>
      <c r="L147" s="41">
        <f t="shared" si="62"/>
        <v>0</v>
      </c>
      <c r="M147" s="41">
        <f t="shared" si="62"/>
        <v>0</v>
      </c>
      <c r="N147" s="5"/>
    </row>
    <row r="148" spans="1:14" ht="12" hidden="1" customHeight="1" x14ac:dyDescent="0.2">
      <c r="A148" s="43">
        <v>45</v>
      </c>
      <c r="B148" s="43"/>
      <c r="C148" s="41">
        <f t="shared" si="61"/>
        <v>0</v>
      </c>
      <c r="D148" s="41">
        <f t="shared" si="61"/>
        <v>0</v>
      </c>
      <c r="E148" s="41">
        <f t="shared" si="61"/>
        <v>0</v>
      </c>
      <c r="F148" s="41">
        <f t="shared" si="61"/>
        <v>0</v>
      </c>
      <c r="G148" s="41">
        <f t="shared" si="61"/>
        <v>0</v>
      </c>
      <c r="H148" s="41"/>
      <c r="I148" s="41">
        <f t="shared" si="62"/>
        <v>0</v>
      </c>
      <c r="J148" s="41">
        <f t="shared" si="62"/>
        <v>0</v>
      </c>
      <c r="K148" s="41">
        <f t="shared" si="62"/>
        <v>0</v>
      </c>
      <c r="L148" s="41">
        <f t="shared" si="62"/>
        <v>0</v>
      </c>
      <c r="M148" s="41">
        <f t="shared" si="62"/>
        <v>0</v>
      </c>
      <c r="N148" s="5"/>
    </row>
    <row r="149" spans="1:14" ht="12" hidden="1" customHeight="1" x14ac:dyDescent="0.2">
      <c r="A149" s="43"/>
      <c r="B149" s="43"/>
      <c r="C149" s="43"/>
      <c r="D149" s="43"/>
      <c r="E149" s="43"/>
      <c r="F149" s="43"/>
      <c r="G149" s="43"/>
      <c r="H149" s="45"/>
      <c r="I149" s="43"/>
      <c r="J149" s="43"/>
      <c r="K149" s="43"/>
      <c r="L149" s="43"/>
      <c r="M149" s="43"/>
    </row>
    <row r="150" spans="1:14" ht="12" hidden="1" customHeight="1" x14ac:dyDescent="0.2">
      <c r="A150" s="43" t="s">
        <v>36</v>
      </c>
      <c r="B150" s="43"/>
      <c r="C150" s="43">
        <v>1</v>
      </c>
      <c r="D150" s="43">
        <v>1</v>
      </c>
      <c r="E150" s="43">
        <v>1</v>
      </c>
      <c r="F150" s="43">
        <v>1</v>
      </c>
      <c r="G150" s="43">
        <v>1</v>
      </c>
      <c r="H150" s="45"/>
      <c r="I150" s="43">
        <v>1</v>
      </c>
      <c r="J150" s="43">
        <v>1</v>
      </c>
      <c r="K150" s="43">
        <v>1</v>
      </c>
      <c r="L150" s="43">
        <v>1</v>
      </c>
      <c r="M150" s="43">
        <v>1</v>
      </c>
    </row>
    <row r="151" spans="1:14" ht="12" hidden="1" customHeight="1" x14ac:dyDescent="0.2">
      <c r="A151" s="43">
        <v>20</v>
      </c>
      <c r="B151" s="43"/>
      <c r="C151" s="43">
        <f t="shared" ref="C151:G153" si="63">+IF(C$142+C$144&gt;C63,1,0)</f>
        <v>1</v>
      </c>
      <c r="D151" s="43">
        <f t="shared" si="63"/>
        <v>1</v>
      </c>
      <c r="E151" s="43">
        <f t="shared" si="63"/>
        <v>1</v>
      </c>
      <c r="F151" s="43">
        <f t="shared" si="63"/>
        <v>1</v>
      </c>
      <c r="G151" s="43">
        <f t="shared" si="63"/>
        <v>1</v>
      </c>
      <c r="H151" s="43"/>
      <c r="I151" s="43">
        <f t="shared" ref="I151:M153" si="64">+IF(I$142+I$144&gt;I63,1,0)</f>
        <v>0</v>
      </c>
      <c r="J151" s="43">
        <f t="shared" si="64"/>
        <v>0</v>
      </c>
      <c r="K151" s="43">
        <f t="shared" si="64"/>
        <v>0</v>
      </c>
      <c r="L151" s="43">
        <f t="shared" si="64"/>
        <v>0</v>
      </c>
      <c r="M151" s="43">
        <f t="shared" si="64"/>
        <v>0</v>
      </c>
    </row>
    <row r="152" spans="1:14" ht="12" hidden="1" customHeight="1" x14ac:dyDescent="0.2">
      <c r="A152" s="43">
        <v>40</v>
      </c>
      <c r="B152" s="43"/>
      <c r="C152" s="43">
        <f t="shared" si="63"/>
        <v>0</v>
      </c>
      <c r="D152" s="43">
        <f t="shared" si="63"/>
        <v>1</v>
      </c>
      <c r="E152" s="43">
        <f t="shared" si="63"/>
        <v>1</v>
      </c>
      <c r="F152" s="43">
        <f t="shared" si="63"/>
        <v>1</v>
      </c>
      <c r="G152" s="43">
        <f t="shared" si="63"/>
        <v>1</v>
      </c>
      <c r="H152" s="43"/>
      <c r="I152" s="43">
        <f t="shared" si="64"/>
        <v>0</v>
      </c>
      <c r="J152" s="43">
        <f t="shared" si="64"/>
        <v>0</v>
      </c>
      <c r="K152" s="43">
        <f t="shared" si="64"/>
        <v>0</v>
      </c>
      <c r="L152" s="43">
        <f t="shared" si="64"/>
        <v>0</v>
      </c>
      <c r="M152" s="43">
        <f t="shared" si="64"/>
        <v>0</v>
      </c>
    </row>
    <row r="153" spans="1:14" ht="12" hidden="1" customHeight="1" x14ac:dyDescent="0.2">
      <c r="A153" s="43">
        <v>45</v>
      </c>
      <c r="B153" s="43"/>
      <c r="C153" s="43">
        <f t="shared" si="63"/>
        <v>0</v>
      </c>
      <c r="D153" s="43">
        <f t="shared" si="63"/>
        <v>0</v>
      </c>
      <c r="E153" s="43">
        <f t="shared" si="63"/>
        <v>0</v>
      </c>
      <c r="F153" s="43">
        <f t="shared" si="63"/>
        <v>0</v>
      </c>
      <c r="G153" s="43">
        <f t="shared" si="63"/>
        <v>0</v>
      </c>
      <c r="H153" s="43"/>
      <c r="I153" s="43">
        <f t="shared" si="64"/>
        <v>0</v>
      </c>
      <c r="J153" s="43">
        <f t="shared" si="64"/>
        <v>0</v>
      </c>
      <c r="K153" s="43">
        <f t="shared" si="64"/>
        <v>0</v>
      </c>
      <c r="L153" s="43">
        <f t="shared" si="64"/>
        <v>0</v>
      </c>
      <c r="M153" s="43">
        <f t="shared" si="64"/>
        <v>0</v>
      </c>
    </row>
    <row r="154" spans="1:14" ht="12" hidden="1" customHeight="1" x14ac:dyDescent="0.2">
      <c r="A154" s="43"/>
      <c r="B154" s="43"/>
      <c r="C154" s="43"/>
      <c r="D154" s="43"/>
      <c r="E154" s="43"/>
      <c r="F154" s="43"/>
      <c r="G154" s="43"/>
      <c r="H154" s="45"/>
      <c r="I154" s="43"/>
      <c r="J154" s="43"/>
      <c r="K154" s="43"/>
      <c r="L154" s="43"/>
      <c r="M154" s="43"/>
    </row>
    <row r="155" spans="1:14" ht="12" hidden="1" customHeight="1" x14ac:dyDescent="0.2">
      <c r="A155" s="43">
        <v>4545</v>
      </c>
      <c r="B155" s="43"/>
      <c r="C155" s="43">
        <f>C153*C148</f>
        <v>0</v>
      </c>
      <c r="D155" s="43">
        <f t="shared" ref="D155:G155" si="65">D153*D148</f>
        <v>0</v>
      </c>
      <c r="E155" s="43">
        <f t="shared" si="65"/>
        <v>0</v>
      </c>
      <c r="F155" s="43">
        <f t="shared" si="65"/>
        <v>0</v>
      </c>
      <c r="G155" s="43">
        <f t="shared" si="65"/>
        <v>0</v>
      </c>
      <c r="H155" s="45"/>
      <c r="I155" s="43">
        <f t="shared" ref="I155:M155" si="66">I153*I148</f>
        <v>0</v>
      </c>
      <c r="J155" s="43">
        <f t="shared" si="66"/>
        <v>0</v>
      </c>
      <c r="K155" s="43">
        <f t="shared" si="66"/>
        <v>0</v>
      </c>
      <c r="L155" s="43">
        <f t="shared" si="66"/>
        <v>0</v>
      </c>
      <c r="M155" s="43">
        <f t="shared" si="66"/>
        <v>0</v>
      </c>
    </row>
    <row r="156" spans="1:14" ht="12" hidden="1" customHeight="1" x14ac:dyDescent="0.2">
      <c r="A156" s="43">
        <v>4540</v>
      </c>
      <c r="B156" s="43"/>
      <c r="C156" s="43">
        <f>C153*(C147-C148)</f>
        <v>0</v>
      </c>
      <c r="D156" s="43">
        <f t="shared" ref="D156:G156" si="67">D153*(D147-D148)</f>
        <v>0</v>
      </c>
      <c r="E156" s="43">
        <f t="shared" si="67"/>
        <v>0</v>
      </c>
      <c r="F156" s="43">
        <f t="shared" si="67"/>
        <v>0</v>
      </c>
      <c r="G156" s="43">
        <f t="shared" si="67"/>
        <v>0</v>
      </c>
      <c r="H156" s="45"/>
      <c r="I156" s="43">
        <f t="shared" ref="I156:M156" si="68">I153*(I147-I148)</f>
        <v>0</v>
      </c>
      <c r="J156" s="43">
        <f t="shared" si="68"/>
        <v>0</v>
      </c>
      <c r="K156" s="43">
        <f t="shared" si="68"/>
        <v>0</v>
      </c>
      <c r="L156" s="43">
        <f t="shared" si="68"/>
        <v>0</v>
      </c>
      <c r="M156" s="43">
        <f t="shared" si="68"/>
        <v>0</v>
      </c>
    </row>
    <row r="157" spans="1:14" ht="12" hidden="1" customHeight="1" x14ac:dyDescent="0.2">
      <c r="A157" s="43">
        <v>4520</v>
      </c>
      <c r="B157" s="43"/>
      <c r="C157" s="43">
        <f>C153*(C146-C147)</f>
        <v>0</v>
      </c>
      <c r="D157" s="43">
        <f t="shared" ref="D157:G157" si="69">D153*(D146-D147)</f>
        <v>0</v>
      </c>
      <c r="E157" s="43">
        <f t="shared" si="69"/>
        <v>0</v>
      </c>
      <c r="F157" s="43">
        <f t="shared" si="69"/>
        <v>0</v>
      </c>
      <c r="G157" s="43">
        <f t="shared" si="69"/>
        <v>0</v>
      </c>
      <c r="H157" s="45"/>
      <c r="I157" s="43">
        <f t="shared" ref="I157:M157" si="70">I153*(I146-I147)</f>
        <v>0</v>
      </c>
      <c r="J157" s="43">
        <f t="shared" si="70"/>
        <v>0</v>
      </c>
      <c r="K157" s="43">
        <f t="shared" si="70"/>
        <v>0</v>
      </c>
      <c r="L157" s="43">
        <f t="shared" si="70"/>
        <v>0</v>
      </c>
      <c r="M157" s="43">
        <f t="shared" si="70"/>
        <v>0</v>
      </c>
    </row>
    <row r="158" spans="1:14" ht="12" hidden="1" customHeight="1" x14ac:dyDescent="0.2">
      <c r="A158" s="43">
        <v>4500</v>
      </c>
      <c r="B158" s="43"/>
      <c r="C158" s="43">
        <f>C153*(C145-C146)</f>
        <v>0</v>
      </c>
      <c r="D158" s="43">
        <f t="shared" ref="D158:G158" si="71">D153*(D145-D146)</f>
        <v>0</v>
      </c>
      <c r="E158" s="43">
        <f t="shared" si="71"/>
        <v>0</v>
      </c>
      <c r="F158" s="43">
        <f t="shared" si="71"/>
        <v>0</v>
      </c>
      <c r="G158" s="43">
        <f t="shared" si="71"/>
        <v>0</v>
      </c>
      <c r="H158" s="45"/>
      <c r="I158" s="43">
        <f t="shared" ref="I158:M158" si="72">I153*(I145-I146)</f>
        <v>0</v>
      </c>
      <c r="J158" s="43">
        <f t="shared" si="72"/>
        <v>0</v>
      </c>
      <c r="K158" s="43">
        <f t="shared" si="72"/>
        <v>0</v>
      </c>
      <c r="L158" s="43">
        <f t="shared" si="72"/>
        <v>0</v>
      </c>
      <c r="M158" s="43">
        <f t="shared" si="72"/>
        <v>0</v>
      </c>
    </row>
    <row r="159" spans="1:14" ht="12" hidden="1" customHeight="1" x14ac:dyDescent="0.2">
      <c r="A159" s="43">
        <v>4040</v>
      </c>
      <c r="B159" s="43"/>
      <c r="C159" s="43">
        <f>(C$152-C$153)*C147</f>
        <v>0</v>
      </c>
      <c r="D159" s="43">
        <f t="shared" ref="D159:G159" si="73">(D$152-D$153)*D147</f>
        <v>1</v>
      </c>
      <c r="E159" s="43">
        <f t="shared" si="73"/>
        <v>1</v>
      </c>
      <c r="F159" s="43">
        <f t="shared" si="73"/>
        <v>1</v>
      </c>
      <c r="G159" s="43">
        <f t="shared" si="73"/>
        <v>1</v>
      </c>
      <c r="H159" s="45"/>
      <c r="I159" s="43">
        <f>(I$152-I$153)*I147</f>
        <v>0</v>
      </c>
      <c r="J159" s="43">
        <f>(J$152-J$153)*J147</f>
        <v>0</v>
      </c>
      <c r="K159" s="43">
        <f>(K$152-K$153)*K147</f>
        <v>0</v>
      </c>
      <c r="L159" s="43">
        <f>(L$152-L$153)*L147</f>
        <v>0</v>
      </c>
      <c r="M159" s="43">
        <f>(M$152-M$153)*M147</f>
        <v>0</v>
      </c>
    </row>
    <row r="160" spans="1:14" ht="12" hidden="1" customHeight="1" x14ac:dyDescent="0.2">
      <c r="A160" s="43">
        <v>4020</v>
      </c>
      <c r="B160" s="43"/>
      <c r="C160" s="43">
        <f>(C$152-C$153)*(C146-C147)</f>
        <v>0</v>
      </c>
      <c r="D160" s="43">
        <f t="shared" ref="D160:G160" si="74">(D$152-D$153)*(D146-D147)</f>
        <v>0</v>
      </c>
      <c r="E160" s="43">
        <f t="shared" si="74"/>
        <v>0</v>
      </c>
      <c r="F160" s="43">
        <f t="shared" si="74"/>
        <v>0</v>
      </c>
      <c r="G160" s="43">
        <f t="shared" si="74"/>
        <v>0</v>
      </c>
      <c r="H160" s="45"/>
      <c r="I160" s="43">
        <f>(I$152-I$153)*(I146-I147)</f>
        <v>0</v>
      </c>
      <c r="J160" s="43">
        <f>(J$152-J$153)*(J146-J147)</f>
        <v>0</v>
      </c>
      <c r="K160" s="43">
        <f>(K$152-K$153)*(K146-K147)</f>
        <v>0</v>
      </c>
      <c r="L160" s="43">
        <f>(L$152-L$153)*(L146-L147)</f>
        <v>0</v>
      </c>
      <c r="M160" s="43">
        <f>(M$152-M$153)*(M146-M147)</f>
        <v>0</v>
      </c>
    </row>
    <row r="161" spans="1:13" ht="12" hidden="1" customHeight="1" x14ac:dyDescent="0.2">
      <c r="A161" s="43">
        <v>4000</v>
      </c>
      <c r="B161" s="43"/>
      <c r="C161" s="43">
        <f>(C$152-C$153)*(C145-C146)</f>
        <v>0</v>
      </c>
      <c r="D161" s="43">
        <f t="shared" ref="D161:G161" si="75">(D$152-D$153)*(D145-D146)</f>
        <v>0</v>
      </c>
      <c r="E161" s="43">
        <f t="shared" si="75"/>
        <v>0</v>
      </c>
      <c r="F161" s="43">
        <f t="shared" si="75"/>
        <v>0</v>
      </c>
      <c r="G161" s="43">
        <f t="shared" si="75"/>
        <v>0</v>
      </c>
      <c r="H161" s="45"/>
      <c r="I161" s="43">
        <f>(I$152-I$153)*(I145-I146)</f>
        <v>0</v>
      </c>
      <c r="J161" s="43">
        <f>(J$152-J$153)*(J145-J146)</f>
        <v>0</v>
      </c>
      <c r="K161" s="43">
        <f>(K$152-K$153)*(K145-K146)</f>
        <v>0</v>
      </c>
      <c r="L161" s="43">
        <f>(L$152-L$153)*(L145-L146)</f>
        <v>0</v>
      </c>
      <c r="M161" s="43">
        <f>(M$152-M$153)*(M145-M146)</f>
        <v>0</v>
      </c>
    </row>
    <row r="162" spans="1:13" ht="12" hidden="1" customHeight="1" x14ac:dyDescent="0.2">
      <c r="A162" s="43">
        <v>2020</v>
      </c>
      <c r="B162" s="43"/>
      <c r="C162" s="43">
        <f>(C$151-C$152)*C146</f>
        <v>1</v>
      </c>
      <c r="D162" s="43">
        <f t="shared" ref="D162:G162" si="76">(D$151-D$152)*D146</f>
        <v>0</v>
      </c>
      <c r="E162" s="43">
        <f t="shared" si="76"/>
        <v>0</v>
      </c>
      <c r="F162" s="43">
        <f t="shared" si="76"/>
        <v>0</v>
      </c>
      <c r="G162" s="43">
        <f t="shared" si="76"/>
        <v>0</v>
      </c>
      <c r="H162" s="45"/>
      <c r="I162" s="43">
        <f>(I$151-I$152)*I146</f>
        <v>0</v>
      </c>
      <c r="J162" s="43">
        <f>(J$151-J$152)*J146</f>
        <v>0</v>
      </c>
      <c r="K162" s="43">
        <f>(K$151-K$152)*K146</f>
        <v>0</v>
      </c>
      <c r="L162" s="43">
        <f>(L$151-L$152)*L146</f>
        <v>0</v>
      </c>
      <c r="M162" s="43">
        <f>(M$151-M$152)*M146</f>
        <v>0</v>
      </c>
    </row>
    <row r="163" spans="1:13" ht="12" hidden="1" customHeight="1" x14ac:dyDescent="0.2">
      <c r="A163" s="43">
        <v>2000</v>
      </c>
      <c r="B163" s="43"/>
      <c r="C163" s="43">
        <f>(C$151-C$152)*(C145-C146)</f>
        <v>0</v>
      </c>
      <c r="D163" s="43">
        <f t="shared" ref="D163:G163" si="77">(D$151-D$152)*(D145-D146)</f>
        <v>0</v>
      </c>
      <c r="E163" s="43">
        <f t="shared" si="77"/>
        <v>0</v>
      </c>
      <c r="F163" s="43">
        <f t="shared" si="77"/>
        <v>0</v>
      </c>
      <c r="G163" s="43">
        <f t="shared" si="77"/>
        <v>0</v>
      </c>
      <c r="H163" s="45"/>
      <c r="I163" s="43">
        <f>(I$151-I$152)*(I145-I146)</f>
        <v>0</v>
      </c>
      <c r="J163" s="43">
        <f>(J$151-J$152)*(J145-J146)</f>
        <v>0</v>
      </c>
      <c r="K163" s="43">
        <f>(K$151-K$152)*(K145-K146)</f>
        <v>0</v>
      </c>
      <c r="L163" s="43">
        <f>(L$151-L$152)*(L145-L146)</f>
        <v>0</v>
      </c>
      <c r="M163" s="43">
        <f>(M$151-M$152)*(M145-M146)</f>
        <v>0</v>
      </c>
    </row>
    <row r="164" spans="1:13" ht="12" hidden="1" customHeight="1" x14ac:dyDescent="0.2">
      <c r="A164" s="43">
        <v>0</v>
      </c>
      <c r="B164" s="43"/>
      <c r="C164" s="43"/>
      <c r="D164" s="43"/>
      <c r="E164" s="43"/>
      <c r="F164" s="43"/>
      <c r="G164" s="43"/>
      <c r="H164" s="45"/>
      <c r="I164" s="43"/>
      <c r="J164" s="43"/>
      <c r="K164" s="43"/>
      <c r="L164" s="43"/>
      <c r="M164" s="43"/>
    </row>
    <row r="165" spans="1:13" ht="12" hidden="1" customHeight="1" x14ac:dyDescent="0.2">
      <c r="A165" s="43"/>
      <c r="B165" s="43"/>
      <c r="C165" s="43"/>
      <c r="D165" s="43"/>
      <c r="E165" s="43"/>
      <c r="F165" s="43"/>
      <c r="G165" s="43"/>
      <c r="H165" s="45"/>
      <c r="I165" s="43"/>
      <c r="J165" s="43"/>
      <c r="K165" s="43"/>
      <c r="L165" s="43"/>
      <c r="M165" s="43"/>
    </row>
    <row r="166" spans="1:13" ht="12" hidden="1" customHeight="1" x14ac:dyDescent="0.2">
      <c r="A166" s="43" t="s">
        <v>38</v>
      </c>
      <c r="B166" s="43"/>
      <c r="C166" s="41"/>
      <c r="D166" s="41"/>
      <c r="E166" s="41"/>
      <c r="F166" s="41"/>
      <c r="G166" s="41"/>
      <c r="H166" s="42"/>
      <c r="I166" s="41"/>
      <c r="J166" s="41"/>
      <c r="K166" s="41"/>
      <c r="L166" s="41"/>
      <c r="M166" s="41"/>
    </row>
    <row r="167" spans="1:13" ht="12" hidden="1" customHeight="1" x14ac:dyDescent="0.2">
      <c r="A167" s="43">
        <f>A155</f>
        <v>4545</v>
      </c>
      <c r="B167" s="43"/>
      <c r="C167" s="41">
        <f>C$85*C144</f>
        <v>381</v>
      </c>
      <c r="D167" s="41">
        <f t="shared" ref="D167:M167" si="78">D$85*D144</f>
        <v>381</v>
      </c>
      <c r="E167" s="41">
        <f t="shared" si="78"/>
        <v>381</v>
      </c>
      <c r="F167" s="41">
        <f t="shared" si="78"/>
        <v>381</v>
      </c>
      <c r="G167" s="41">
        <f t="shared" si="78"/>
        <v>381</v>
      </c>
      <c r="H167" s="41"/>
      <c r="I167" s="41">
        <f t="shared" si="78"/>
        <v>1905</v>
      </c>
      <c r="J167" s="41">
        <f t="shared" si="78"/>
        <v>1905</v>
      </c>
      <c r="K167" s="41">
        <f t="shared" si="78"/>
        <v>1905</v>
      </c>
      <c r="L167" s="41">
        <f t="shared" si="78"/>
        <v>1905</v>
      </c>
      <c r="M167" s="41">
        <f t="shared" si="78"/>
        <v>1905</v>
      </c>
    </row>
    <row r="168" spans="1:13" ht="12" hidden="1" customHeight="1" x14ac:dyDescent="0.2">
      <c r="A168" s="43">
        <f t="shared" ref="A168:A176" si="79">A156</f>
        <v>4540</v>
      </c>
      <c r="B168" s="43"/>
      <c r="C168" s="41">
        <f>C$85*(C$142+C$144-C$65)+C$84*(C$65-C$142)</f>
        <v>-6300.9199999999983</v>
      </c>
      <c r="D168" s="41">
        <f>D$85*(D$142+D$144-D$65)+D$84*(D$65-D$142)</f>
        <v>-4912.1200000000026</v>
      </c>
      <c r="E168" s="41">
        <f>E$85*(E$142+E$144-E$65)+E$84*(E$65-E$142)</f>
        <v>-3512.119999999999</v>
      </c>
      <c r="F168" s="41">
        <f>F$85*(F$142+F$144-F$65)+F$84*(F$65-F$142)</f>
        <v>-1617.08</v>
      </c>
      <c r="G168" s="41">
        <f>G$85*(G$142+G$144-G$65)+G$84*(G$65-G$142)</f>
        <v>-84.920000000000073</v>
      </c>
      <c r="H168" s="41"/>
      <c r="I168" s="41">
        <f>I$85*(I$142+I$144-I$65)+I$84*(I$65-I$142)</f>
        <v>-7111</v>
      </c>
      <c r="J168" s="41">
        <f>J$85*(J$142+J$144-J$65)+J$84*(J$65-J$142)</f>
        <v>-7122.2000000000044</v>
      </c>
      <c r="K168" s="41">
        <f>K$85*(K$142+K$144-K$65)+K$84*(K$65-K$142)</f>
        <v>-7122.2000000000044</v>
      </c>
      <c r="L168" s="41">
        <f>L$85*(L$142+L$144-L$65)+L$84*(L$65-L$142)</f>
        <v>-7122.2000000000044</v>
      </c>
      <c r="M168" s="41">
        <f>M$85*(M$142+M$144-M$65)+M$84*(M$65-M$142)</f>
        <v>-7122.2000000000044</v>
      </c>
    </row>
    <row r="169" spans="1:13" ht="12" hidden="1" customHeight="1" x14ac:dyDescent="0.2">
      <c r="A169" s="43">
        <f t="shared" si="79"/>
        <v>4520</v>
      </c>
      <c r="B169" s="43"/>
      <c r="C169" s="41">
        <v>0</v>
      </c>
      <c r="D169" s="41">
        <v>0</v>
      </c>
      <c r="E169" s="41">
        <v>0</v>
      </c>
      <c r="F169" s="41">
        <v>0</v>
      </c>
      <c r="G169" s="41">
        <v>0</v>
      </c>
      <c r="H169" s="41"/>
      <c r="I169" s="41">
        <v>0</v>
      </c>
      <c r="J169" s="41">
        <v>0</v>
      </c>
      <c r="K169" s="41">
        <v>0</v>
      </c>
      <c r="L169" s="41">
        <v>0</v>
      </c>
      <c r="M169" s="41">
        <v>0</v>
      </c>
    </row>
    <row r="170" spans="1:13" ht="12" hidden="1" customHeight="1" x14ac:dyDescent="0.2">
      <c r="A170" s="43">
        <f t="shared" si="79"/>
        <v>4500</v>
      </c>
      <c r="B170" s="43"/>
      <c r="C170" s="41">
        <v>0</v>
      </c>
      <c r="D170" s="41">
        <v>0</v>
      </c>
      <c r="E170" s="41">
        <v>0</v>
      </c>
      <c r="F170" s="41">
        <v>0</v>
      </c>
      <c r="G170" s="41">
        <v>0</v>
      </c>
      <c r="H170" s="41"/>
      <c r="I170" s="41">
        <v>0</v>
      </c>
      <c r="J170" s="41">
        <v>0</v>
      </c>
      <c r="K170" s="41">
        <v>0</v>
      </c>
      <c r="L170" s="41">
        <v>0</v>
      </c>
      <c r="M170" s="41">
        <v>0</v>
      </c>
    </row>
    <row r="171" spans="1:13" ht="12" hidden="1" customHeight="1" x14ac:dyDescent="0.2">
      <c r="A171" s="43">
        <f t="shared" si="79"/>
        <v>4040</v>
      </c>
      <c r="B171" s="43"/>
      <c r="C171" s="41">
        <f>C$84*C144</f>
        <v>325</v>
      </c>
      <c r="D171" s="41">
        <f t="shared" ref="D171:M171" si="80">D$84*D144</f>
        <v>325</v>
      </c>
      <c r="E171" s="41">
        <f t="shared" si="80"/>
        <v>325</v>
      </c>
      <c r="F171" s="41">
        <f t="shared" si="80"/>
        <v>325</v>
      </c>
      <c r="G171" s="41">
        <f t="shared" si="80"/>
        <v>325</v>
      </c>
      <c r="H171" s="41"/>
      <c r="I171" s="41">
        <f t="shared" si="80"/>
        <v>1625</v>
      </c>
      <c r="J171" s="41">
        <f t="shared" si="80"/>
        <v>1625</v>
      </c>
      <c r="K171" s="41">
        <f t="shared" si="80"/>
        <v>1625</v>
      </c>
      <c r="L171" s="41">
        <f t="shared" si="80"/>
        <v>1625</v>
      </c>
      <c r="M171" s="41">
        <f t="shared" si="80"/>
        <v>1625</v>
      </c>
    </row>
    <row r="172" spans="1:13" ht="12" hidden="1" customHeight="1" x14ac:dyDescent="0.2">
      <c r="A172" s="43">
        <f t="shared" si="79"/>
        <v>4020</v>
      </c>
      <c r="B172" s="43"/>
      <c r="C172" s="41">
        <f>C$84*(C$142+C$144-C$64)+C$83*(C$64-C$142)</f>
        <v>-5</v>
      </c>
      <c r="D172" s="41">
        <f>D$84*(D$142+D$144-D$64)+D$83*(D$64-D$142)</f>
        <v>6095</v>
      </c>
      <c r="E172" s="41">
        <f>E$84*(E$142+E$144-E$64)+E$83*(E$64-E$142)</f>
        <v>12345</v>
      </c>
      <c r="F172" s="41">
        <f>F$84*(F$142+F$144-F$64)+F$83*(F$64-F$142)</f>
        <v>20805</v>
      </c>
      <c r="G172" s="41">
        <f>G$84*(G$142+G$144-G$64)+G$83*(G$64-G$142)</f>
        <v>27645</v>
      </c>
      <c r="H172" s="41"/>
      <c r="I172" s="41">
        <f>I$84*(I$142+I$144-I$64)+I$83*(I$64-I$142)</f>
        <v>-9125</v>
      </c>
      <c r="J172" s="41">
        <f>J$84*(J$142+J$144-J$64)+J$83*(J$64-J$142)</f>
        <v>-9275</v>
      </c>
      <c r="K172" s="41">
        <f>K$84*(K$142+K$144-K$64)+K$83*(K$64-K$142)</f>
        <v>-9275</v>
      </c>
      <c r="L172" s="41">
        <f>L$84*(L$142+L$144-L$64)+L$83*(L$64-L$142)</f>
        <v>-9275</v>
      </c>
      <c r="M172" s="41">
        <f>M$84*(M$142+M$144-M$64)+M$83*(M$64-M$142)</f>
        <v>-9275</v>
      </c>
    </row>
    <row r="173" spans="1:13" ht="12" hidden="1" customHeight="1" x14ac:dyDescent="0.2">
      <c r="A173" s="43">
        <f t="shared" si="79"/>
        <v>4000</v>
      </c>
      <c r="B173" s="43"/>
      <c r="C173" s="41">
        <v>0</v>
      </c>
      <c r="D173" s="41">
        <v>1</v>
      </c>
      <c r="E173" s="41">
        <v>2</v>
      </c>
      <c r="F173" s="41">
        <v>3</v>
      </c>
      <c r="G173" s="41">
        <v>4</v>
      </c>
      <c r="H173" s="41"/>
      <c r="I173" s="41">
        <v>6</v>
      </c>
      <c r="J173" s="41">
        <v>7</v>
      </c>
      <c r="K173" s="41">
        <v>8</v>
      </c>
      <c r="L173" s="41">
        <v>9</v>
      </c>
      <c r="M173" s="41">
        <v>10</v>
      </c>
    </row>
    <row r="174" spans="1:13" ht="12" hidden="1" customHeight="1" x14ac:dyDescent="0.2">
      <c r="A174" s="43">
        <f t="shared" si="79"/>
        <v>2020</v>
      </c>
      <c r="B174" s="43"/>
      <c r="C174" s="41">
        <f>C$83*C144</f>
        <v>75</v>
      </c>
      <c r="D174" s="41">
        <f t="shared" ref="D174:M174" si="81">D$83*D144</f>
        <v>75</v>
      </c>
      <c r="E174" s="41">
        <f t="shared" si="81"/>
        <v>75</v>
      </c>
      <c r="F174" s="41">
        <f t="shared" si="81"/>
        <v>75</v>
      </c>
      <c r="G174" s="41">
        <f t="shared" si="81"/>
        <v>75</v>
      </c>
      <c r="H174" s="41"/>
      <c r="I174" s="41">
        <f t="shared" si="81"/>
        <v>375</v>
      </c>
      <c r="J174" s="41">
        <f t="shared" si="81"/>
        <v>375</v>
      </c>
      <c r="K174" s="41">
        <f t="shared" si="81"/>
        <v>375</v>
      </c>
      <c r="L174" s="41">
        <f t="shared" si="81"/>
        <v>375</v>
      </c>
      <c r="M174" s="41">
        <f t="shared" si="81"/>
        <v>375</v>
      </c>
    </row>
    <row r="175" spans="1:13" ht="12" hidden="1" customHeight="1" x14ac:dyDescent="0.2">
      <c r="A175" s="43">
        <f t="shared" si="79"/>
        <v>2000</v>
      </c>
      <c r="B175" s="43"/>
      <c r="C175" s="41">
        <f>C$83*(C$142+C144-C$63)+C$82*(C$63-C$142)</f>
        <v>2376</v>
      </c>
      <c r="D175" s="41">
        <f>D$83*(D$142+D144-D$63)+D$82*(D$63-D$142)</f>
        <v>4236</v>
      </c>
      <c r="E175" s="41">
        <f>E$83*(E$142+E144-E$63)+E$82*(E$63-E$142)</f>
        <v>6111</v>
      </c>
      <c r="F175" s="41">
        <f>F$83*(F$142+F144-F$63)+F$82*(F$63-F$142)</f>
        <v>8649</v>
      </c>
      <c r="G175" s="41">
        <f>G$83*(G$142+G144-G$63)+G$82*(G$63-G$142)</f>
        <v>10701</v>
      </c>
      <c r="H175" s="41"/>
      <c r="I175" s="41">
        <f>I$83*(I$142+I144-I$63)+I$82*(I$63-I$142)</f>
        <v>-450</v>
      </c>
      <c r="J175" s="41">
        <f>J$83*(J$142+J144-J$63)+J$82*(J$63-J$142)</f>
        <v>-465</v>
      </c>
      <c r="K175" s="41">
        <f>K$83*(K$142+K144-K$63)+K$82*(K$63-K$142)</f>
        <v>-465</v>
      </c>
      <c r="L175" s="41">
        <f>L$83*(L$142+L144-L$63)+L$82*(L$63-L$142)</f>
        <v>-465</v>
      </c>
      <c r="M175" s="41">
        <f>M$83*(M$142+M144-M$63)+M$82*(M$63-M$142)</f>
        <v>-465</v>
      </c>
    </row>
    <row r="176" spans="1:13" ht="12" hidden="1" customHeight="1" x14ac:dyDescent="0.2">
      <c r="A176" s="43">
        <f t="shared" si="79"/>
        <v>0</v>
      </c>
      <c r="B176" s="43"/>
      <c r="C176" s="41"/>
      <c r="D176" s="41"/>
      <c r="E176" s="41"/>
      <c r="F176" s="41"/>
      <c r="G176" s="41"/>
      <c r="H176" s="42"/>
      <c r="I176" s="41"/>
      <c r="J176" s="41"/>
      <c r="K176" s="41"/>
      <c r="L176" s="41"/>
      <c r="M176" s="41"/>
    </row>
    <row r="177" spans="1:13" ht="12" hidden="1" customHeight="1" x14ac:dyDescent="0.2">
      <c r="A177" s="43"/>
      <c r="B177" s="43"/>
      <c r="C177" s="43"/>
      <c r="D177" s="43"/>
      <c r="E177" s="43"/>
      <c r="F177" s="43"/>
      <c r="G177" s="43"/>
      <c r="H177" s="45"/>
      <c r="I177" s="43"/>
      <c r="J177" s="43"/>
      <c r="K177" s="43"/>
      <c r="L177" s="43"/>
      <c r="M177" s="43"/>
    </row>
    <row r="178" spans="1:13" ht="12" hidden="1" customHeight="1" x14ac:dyDescent="0.2">
      <c r="A178" s="43" t="s">
        <v>39</v>
      </c>
      <c r="B178" s="43"/>
      <c r="C178" s="43"/>
      <c r="D178" s="43"/>
      <c r="E178" s="43"/>
      <c r="F178" s="43"/>
      <c r="G178" s="43"/>
      <c r="H178" s="45"/>
      <c r="I178" s="43"/>
      <c r="J178" s="43"/>
      <c r="K178" s="43"/>
      <c r="L178" s="43"/>
      <c r="M178" s="43"/>
    </row>
    <row r="179" spans="1:13" ht="12" hidden="1" customHeight="1" x14ac:dyDescent="0.2">
      <c r="A179" s="43">
        <f>A167</f>
        <v>4545</v>
      </c>
      <c r="B179" s="43"/>
      <c r="C179" s="41">
        <f>C167*C155</f>
        <v>0</v>
      </c>
      <c r="D179" s="41">
        <f t="shared" ref="D179:G179" si="82">D167*D155</f>
        <v>0</v>
      </c>
      <c r="E179" s="41">
        <f t="shared" si="82"/>
        <v>0</v>
      </c>
      <c r="F179" s="41">
        <f t="shared" si="82"/>
        <v>0</v>
      </c>
      <c r="G179" s="41">
        <f t="shared" si="82"/>
        <v>0</v>
      </c>
      <c r="H179" s="42"/>
      <c r="I179" s="41">
        <f t="shared" ref="I179:M179" si="83">I167*I155</f>
        <v>0</v>
      </c>
      <c r="J179" s="41">
        <f t="shared" si="83"/>
        <v>0</v>
      </c>
      <c r="K179" s="41">
        <f t="shared" si="83"/>
        <v>0</v>
      </c>
      <c r="L179" s="41">
        <f t="shared" si="83"/>
        <v>0</v>
      </c>
      <c r="M179" s="41">
        <f t="shared" si="83"/>
        <v>0</v>
      </c>
    </row>
    <row r="180" spans="1:13" ht="12" hidden="1" customHeight="1" x14ac:dyDescent="0.2">
      <c r="A180" s="43">
        <f t="shared" ref="A180:A188" si="84">A168</f>
        <v>4540</v>
      </c>
      <c r="B180" s="43"/>
      <c r="C180" s="41">
        <f t="shared" ref="C180:G180" si="85">C168*C156</f>
        <v>0</v>
      </c>
      <c r="D180" s="41">
        <f t="shared" si="85"/>
        <v>0</v>
      </c>
      <c r="E180" s="41">
        <f t="shared" si="85"/>
        <v>0</v>
      </c>
      <c r="F180" s="41">
        <f t="shared" si="85"/>
        <v>0</v>
      </c>
      <c r="G180" s="41">
        <f t="shared" si="85"/>
        <v>0</v>
      </c>
      <c r="H180" s="42"/>
      <c r="I180" s="41">
        <f t="shared" ref="I180:M180" si="86">I168*I156</f>
        <v>0</v>
      </c>
      <c r="J180" s="41">
        <f t="shared" si="86"/>
        <v>0</v>
      </c>
      <c r="K180" s="41">
        <f t="shared" si="86"/>
        <v>0</v>
      </c>
      <c r="L180" s="41">
        <f t="shared" si="86"/>
        <v>0</v>
      </c>
      <c r="M180" s="41">
        <f t="shared" si="86"/>
        <v>0</v>
      </c>
    </row>
    <row r="181" spans="1:13" ht="12" hidden="1" customHeight="1" x14ac:dyDescent="0.2">
      <c r="A181" s="43">
        <f t="shared" si="84"/>
        <v>4520</v>
      </c>
      <c r="B181" s="43"/>
      <c r="C181" s="41">
        <f t="shared" ref="C181:G181" si="87">C169*C157</f>
        <v>0</v>
      </c>
      <c r="D181" s="41">
        <f t="shared" si="87"/>
        <v>0</v>
      </c>
      <c r="E181" s="41">
        <f t="shared" si="87"/>
        <v>0</v>
      </c>
      <c r="F181" s="41">
        <f t="shared" si="87"/>
        <v>0</v>
      </c>
      <c r="G181" s="41">
        <f t="shared" si="87"/>
        <v>0</v>
      </c>
      <c r="H181" s="42"/>
      <c r="I181" s="41">
        <f t="shared" ref="I181:M181" si="88">I169*I157</f>
        <v>0</v>
      </c>
      <c r="J181" s="41">
        <f t="shared" si="88"/>
        <v>0</v>
      </c>
      <c r="K181" s="41">
        <f t="shared" si="88"/>
        <v>0</v>
      </c>
      <c r="L181" s="41">
        <f t="shared" si="88"/>
        <v>0</v>
      </c>
      <c r="M181" s="41">
        <f t="shared" si="88"/>
        <v>0</v>
      </c>
    </row>
    <row r="182" spans="1:13" ht="12" hidden="1" customHeight="1" x14ac:dyDescent="0.2">
      <c r="A182" s="43">
        <f t="shared" si="84"/>
        <v>4500</v>
      </c>
      <c r="B182" s="43"/>
      <c r="C182" s="41">
        <f t="shared" ref="C182:G182" si="89">C170*C158</f>
        <v>0</v>
      </c>
      <c r="D182" s="41">
        <f t="shared" si="89"/>
        <v>0</v>
      </c>
      <c r="E182" s="41">
        <f t="shared" si="89"/>
        <v>0</v>
      </c>
      <c r="F182" s="41">
        <f t="shared" si="89"/>
        <v>0</v>
      </c>
      <c r="G182" s="41">
        <f t="shared" si="89"/>
        <v>0</v>
      </c>
      <c r="H182" s="42"/>
      <c r="I182" s="41">
        <f t="shared" ref="I182:M182" si="90">I170*I158</f>
        <v>0</v>
      </c>
      <c r="J182" s="41">
        <f t="shared" si="90"/>
        <v>0</v>
      </c>
      <c r="K182" s="41">
        <f t="shared" si="90"/>
        <v>0</v>
      </c>
      <c r="L182" s="41">
        <f t="shared" si="90"/>
        <v>0</v>
      </c>
      <c r="M182" s="41">
        <f t="shared" si="90"/>
        <v>0</v>
      </c>
    </row>
    <row r="183" spans="1:13" ht="12" hidden="1" customHeight="1" x14ac:dyDescent="0.2">
      <c r="A183" s="43">
        <f t="shared" si="84"/>
        <v>4040</v>
      </c>
      <c r="B183" s="43"/>
      <c r="C183" s="41">
        <f t="shared" ref="C183:G183" si="91">C171*C159</f>
        <v>0</v>
      </c>
      <c r="D183" s="41">
        <f t="shared" si="91"/>
        <v>325</v>
      </c>
      <c r="E183" s="41">
        <f t="shared" si="91"/>
        <v>325</v>
      </c>
      <c r="F183" s="41">
        <f t="shared" si="91"/>
        <v>325</v>
      </c>
      <c r="G183" s="41">
        <f t="shared" si="91"/>
        <v>325</v>
      </c>
      <c r="H183" s="42"/>
      <c r="I183" s="41">
        <f t="shared" ref="I183:M183" si="92">I171*I159</f>
        <v>0</v>
      </c>
      <c r="J183" s="41">
        <f t="shared" si="92"/>
        <v>0</v>
      </c>
      <c r="K183" s="41">
        <f t="shared" si="92"/>
        <v>0</v>
      </c>
      <c r="L183" s="41">
        <f t="shared" si="92"/>
        <v>0</v>
      </c>
      <c r="M183" s="41">
        <f t="shared" si="92"/>
        <v>0</v>
      </c>
    </row>
    <row r="184" spans="1:13" ht="12" hidden="1" customHeight="1" x14ac:dyDescent="0.2">
      <c r="A184" s="43">
        <f t="shared" si="84"/>
        <v>4020</v>
      </c>
      <c r="B184" s="43"/>
      <c r="C184" s="41">
        <f t="shared" ref="C184:G184" si="93">C172*C160</f>
        <v>0</v>
      </c>
      <c r="D184" s="41">
        <f t="shared" si="93"/>
        <v>0</v>
      </c>
      <c r="E184" s="41">
        <f t="shared" si="93"/>
        <v>0</v>
      </c>
      <c r="F184" s="41">
        <f t="shared" si="93"/>
        <v>0</v>
      </c>
      <c r="G184" s="41">
        <f t="shared" si="93"/>
        <v>0</v>
      </c>
      <c r="H184" s="42"/>
      <c r="I184" s="41">
        <f t="shared" ref="I184:M184" si="94">I172*I160</f>
        <v>0</v>
      </c>
      <c r="J184" s="41">
        <f t="shared" si="94"/>
        <v>0</v>
      </c>
      <c r="K184" s="41">
        <f t="shared" si="94"/>
        <v>0</v>
      </c>
      <c r="L184" s="41">
        <f t="shared" si="94"/>
        <v>0</v>
      </c>
      <c r="M184" s="41">
        <f t="shared" si="94"/>
        <v>0</v>
      </c>
    </row>
    <row r="185" spans="1:13" ht="12" hidden="1" customHeight="1" x14ac:dyDescent="0.2">
      <c r="A185" s="43">
        <f t="shared" si="84"/>
        <v>4000</v>
      </c>
      <c r="B185" s="43"/>
      <c r="C185" s="41">
        <f t="shared" ref="C185:G185" si="95">C173*C161</f>
        <v>0</v>
      </c>
      <c r="D185" s="41">
        <f t="shared" si="95"/>
        <v>0</v>
      </c>
      <c r="E185" s="41">
        <f t="shared" si="95"/>
        <v>0</v>
      </c>
      <c r="F185" s="41">
        <f t="shared" si="95"/>
        <v>0</v>
      </c>
      <c r="G185" s="41">
        <f t="shared" si="95"/>
        <v>0</v>
      </c>
      <c r="H185" s="42"/>
      <c r="I185" s="41">
        <f t="shared" ref="I185:M185" si="96">I173*I161</f>
        <v>0</v>
      </c>
      <c r="J185" s="41">
        <f t="shared" si="96"/>
        <v>0</v>
      </c>
      <c r="K185" s="41">
        <f t="shared" si="96"/>
        <v>0</v>
      </c>
      <c r="L185" s="41">
        <f t="shared" si="96"/>
        <v>0</v>
      </c>
      <c r="M185" s="41">
        <f t="shared" si="96"/>
        <v>0</v>
      </c>
    </row>
    <row r="186" spans="1:13" ht="12" hidden="1" customHeight="1" x14ac:dyDescent="0.2">
      <c r="A186" s="43">
        <f t="shared" si="84"/>
        <v>2020</v>
      </c>
      <c r="B186" s="43"/>
      <c r="C186" s="41">
        <f t="shared" ref="C186:G186" si="97">C174*C162</f>
        <v>75</v>
      </c>
      <c r="D186" s="41">
        <f t="shared" si="97"/>
        <v>0</v>
      </c>
      <c r="E186" s="41">
        <f t="shared" si="97"/>
        <v>0</v>
      </c>
      <c r="F186" s="41">
        <f t="shared" si="97"/>
        <v>0</v>
      </c>
      <c r="G186" s="41">
        <f t="shared" si="97"/>
        <v>0</v>
      </c>
      <c r="H186" s="42"/>
      <c r="I186" s="41">
        <f t="shared" ref="I186:M186" si="98">I174*I162</f>
        <v>0</v>
      </c>
      <c r="J186" s="41">
        <f t="shared" si="98"/>
        <v>0</v>
      </c>
      <c r="K186" s="41">
        <f t="shared" si="98"/>
        <v>0</v>
      </c>
      <c r="L186" s="41">
        <f t="shared" si="98"/>
        <v>0</v>
      </c>
      <c r="M186" s="41">
        <f t="shared" si="98"/>
        <v>0</v>
      </c>
    </row>
    <row r="187" spans="1:13" ht="12" hidden="1" customHeight="1" x14ac:dyDescent="0.2">
      <c r="A187" s="43">
        <f t="shared" si="84"/>
        <v>2000</v>
      </c>
      <c r="B187" s="43"/>
      <c r="C187" s="41">
        <f t="shared" ref="C187:G187" si="99">C175*C163</f>
        <v>0</v>
      </c>
      <c r="D187" s="41">
        <f t="shared" si="99"/>
        <v>0</v>
      </c>
      <c r="E187" s="41">
        <f t="shared" si="99"/>
        <v>0</v>
      </c>
      <c r="F187" s="41">
        <f t="shared" si="99"/>
        <v>0</v>
      </c>
      <c r="G187" s="41">
        <f t="shared" si="99"/>
        <v>0</v>
      </c>
      <c r="H187" s="42"/>
      <c r="I187" s="41">
        <f t="shared" ref="I187:M187" si="100">I175*I163</f>
        <v>0</v>
      </c>
      <c r="J187" s="41">
        <f t="shared" si="100"/>
        <v>0</v>
      </c>
      <c r="K187" s="41">
        <f t="shared" si="100"/>
        <v>0</v>
      </c>
      <c r="L187" s="41">
        <f t="shared" si="100"/>
        <v>0</v>
      </c>
      <c r="M187" s="41">
        <f t="shared" si="100"/>
        <v>0</v>
      </c>
    </row>
    <row r="188" spans="1:13" ht="12" hidden="1" customHeight="1" x14ac:dyDescent="0.2">
      <c r="A188" s="43">
        <f t="shared" si="84"/>
        <v>0</v>
      </c>
      <c r="B188" s="43"/>
      <c r="C188" s="41">
        <f t="shared" ref="C188" si="101">C177*C164</f>
        <v>0</v>
      </c>
      <c r="D188" s="41"/>
      <c r="E188" s="41"/>
      <c r="F188" s="41"/>
      <c r="G188" s="41"/>
      <c r="H188" s="42"/>
      <c r="I188" s="41"/>
      <c r="J188" s="41"/>
      <c r="K188" s="41"/>
      <c r="L188" s="41"/>
      <c r="M188" s="41"/>
    </row>
    <row r="189" spans="1:13" ht="12" hidden="1" customHeight="1" x14ac:dyDescent="0.2">
      <c r="A189" s="43"/>
      <c r="B189" s="43"/>
      <c r="C189" s="41">
        <f>SUM(C179:C188)</f>
        <v>75</v>
      </c>
      <c r="D189" s="41">
        <f t="shared" ref="D189:G189" si="102">SUM(D179:D188)</f>
        <v>325</v>
      </c>
      <c r="E189" s="41">
        <f t="shared" si="102"/>
        <v>325</v>
      </c>
      <c r="F189" s="41">
        <f t="shared" si="102"/>
        <v>325</v>
      </c>
      <c r="G189" s="41">
        <f t="shared" si="102"/>
        <v>325</v>
      </c>
      <c r="H189" s="42"/>
      <c r="I189" s="41">
        <f t="shared" ref="I189" si="103">SUM(I179:I188)</f>
        <v>0</v>
      </c>
      <c r="J189" s="41">
        <f t="shared" ref="J189" si="104">SUM(J179:J188)</f>
        <v>0</v>
      </c>
      <c r="K189" s="41">
        <f t="shared" ref="K189" si="105">SUM(K179:K188)</f>
        <v>0</v>
      </c>
      <c r="L189" s="41">
        <f t="shared" ref="L189" si="106">SUM(L179:L188)</f>
        <v>0</v>
      </c>
      <c r="M189" s="41">
        <f t="shared" ref="M189" si="107">SUM(M179:M188)</f>
        <v>0</v>
      </c>
    </row>
    <row r="190" spans="1:13" ht="12" customHeight="1" x14ac:dyDescent="0.2">
      <c r="C190" s="63"/>
      <c r="D190" s="5"/>
      <c r="E190" s="5"/>
      <c r="F190" s="5"/>
      <c r="G190" s="5"/>
      <c r="H190" s="30"/>
      <c r="I190" s="5"/>
      <c r="J190" s="5"/>
      <c r="K190" s="5"/>
      <c r="L190" s="5"/>
      <c r="M190" s="5"/>
    </row>
    <row r="191" spans="1:13" ht="12" customHeight="1" x14ac:dyDescent="0.2"/>
    <row r="192" spans="1:13" ht="12" customHeight="1" x14ac:dyDescent="0.2"/>
    <row r="193" ht="12" customHeight="1" x14ac:dyDescent="0.2"/>
    <row r="194" ht="12" customHeight="1" x14ac:dyDescent="0.2"/>
    <row r="195" ht="12" customHeight="1" x14ac:dyDescent="0.2"/>
  </sheetData>
  <sheetProtection algorithmName="SHA-512" hashValue="R1OmRaQ4inzqbfIeaz7OaWqZ+uCSvt4hzGb11dFuS7w/B9dHlUFeoUp58jFgpBgLBv+4qLDiS3bARMxM1sCb1g==" saltValue="4hS6VQvr2N2ldE2+WC7KgA==" spinCount="100000" sheet="1" objects="1" scenarios="1"/>
  <pageMargins left="0.7" right="0.7" top="0.75" bottom="0.75" header="0.3" footer="0.3"/>
  <pageSetup paperSize="9" scale="82" orientation="landscape" verticalDpi="0" r:id="rId1"/>
  <headerFooter>
    <oddHeader xml:space="preserve">&amp;C&amp;"Lucida Sans,Bold"&amp;20&amp;UIncome &amp; Tax Detail&amp;"Lucida Sans,Regular"&amp;10&amp;U
</oddHeader>
    <oddFooter>&amp;L&amp;8This calculator is for Buy to Let investors to help them to assess the
impact of the changes to interest cost relief and is no substitute for
taking proper tax advice. No warranty is given as to its accuracy.&amp;R
&amp;8Mortgages for Business - July 2015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topLeftCell="A13" workbookViewId="0">
      <selection activeCell="B17" sqref="B17"/>
    </sheetView>
  </sheetViews>
  <sheetFormatPr defaultRowHeight="12.75" x14ac:dyDescent="0.2"/>
  <cols>
    <col min="1" max="1" width="46" customWidth="1"/>
    <col min="2" max="4" width="9.75" customWidth="1"/>
  </cols>
  <sheetData>
    <row r="1" spans="1:4" x14ac:dyDescent="0.2">
      <c r="A1" t="s">
        <v>155</v>
      </c>
    </row>
    <row r="3" spans="1:4" x14ac:dyDescent="0.2">
      <c r="A3" t="s">
        <v>164</v>
      </c>
    </row>
    <row r="4" spans="1:4" x14ac:dyDescent="0.2">
      <c r="A4" t="s">
        <v>161</v>
      </c>
    </row>
    <row r="5" spans="1:4" x14ac:dyDescent="0.2">
      <c r="A5" t="s">
        <v>162</v>
      </c>
    </row>
    <row r="7" spans="1:4" x14ac:dyDescent="0.2">
      <c r="A7" t="s">
        <v>165</v>
      </c>
    </row>
    <row r="8" spans="1:4" x14ac:dyDescent="0.2">
      <c r="A8" t="s">
        <v>175</v>
      </c>
    </row>
    <row r="9" spans="1:4" x14ac:dyDescent="0.2">
      <c r="A9" t="s">
        <v>177</v>
      </c>
    </row>
    <row r="10" spans="1:4" x14ac:dyDescent="0.2">
      <c r="A10" t="s">
        <v>176</v>
      </c>
    </row>
    <row r="12" spans="1:4" x14ac:dyDescent="0.2">
      <c r="A12" s="12" t="s">
        <v>174</v>
      </c>
      <c r="B12" s="107">
        <v>2.5000000000000001E-2</v>
      </c>
    </row>
    <row r="14" spans="1:4" x14ac:dyDescent="0.2">
      <c r="A14" t="s">
        <v>178</v>
      </c>
      <c r="B14" s="127" t="s">
        <v>166</v>
      </c>
      <c r="C14" s="127"/>
      <c r="D14" s="127"/>
    </row>
    <row r="15" spans="1:4" x14ac:dyDescent="0.2">
      <c r="A15" s="3" t="s">
        <v>167</v>
      </c>
      <c r="B15" s="106" t="s">
        <v>156</v>
      </c>
      <c r="C15" s="106" t="s">
        <v>157</v>
      </c>
      <c r="D15" s="106" t="s">
        <v>158</v>
      </c>
    </row>
    <row r="16" spans="1:4" x14ac:dyDescent="0.2">
      <c r="A16" t="s">
        <v>1</v>
      </c>
      <c r="B16" s="108">
        <f>B28</f>
        <v>2.469135802469136E-2</v>
      </c>
      <c r="C16" s="108">
        <f t="shared" ref="C16:D16" si="0">C28</f>
        <v>2.6748971193415638E-2</v>
      </c>
      <c r="D16" s="108">
        <f t="shared" si="0"/>
        <v>2.7497194163860834E-2</v>
      </c>
    </row>
    <row r="17" spans="1:4" x14ac:dyDescent="0.2">
      <c r="A17" t="s">
        <v>2</v>
      </c>
      <c r="B17" s="108">
        <f>B37</f>
        <v>2.469135802469136E-2</v>
      </c>
      <c r="C17" s="108">
        <f t="shared" ref="C17:D17" si="1">C37</f>
        <v>2.8806584362139922E-2</v>
      </c>
      <c r="D17" s="108">
        <f t="shared" si="1"/>
        <v>3.0303030303030304E-2</v>
      </c>
    </row>
    <row r="18" spans="1:4" x14ac:dyDescent="0.2">
      <c r="A18" t="s">
        <v>3</v>
      </c>
      <c r="B18" s="108">
        <f>B46</f>
        <v>2.469135802469136E-2</v>
      </c>
      <c r="C18" s="108">
        <f t="shared" ref="C18:D18" si="2">C46</f>
        <v>3.0864197530864206E-2</v>
      </c>
      <c r="D18" s="108">
        <f t="shared" si="2"/>
        <v>3.3108866442199777E-2</v>
      </c>
    </row>
    <row r="19" spans="1:4" x14ac:dyDescent="0.2">
      <c r="A19" t="s">
        <v>4</v>
      </c>
      <c r="B19" s="108">
        <f>B55</f>
        <v>2.4390243902439029E-2</v>
      </c>
      <c r="C19" s="108">
        <f t="shared" ref="C19:D19" si="3">C55</f>
        <v>3.2520325203252036E-2</v>
      </c>
      <c r="D19" s="108">
        <f t="shared" si="3"/>
        <v>3.5476718403547679E-2</v>
      </c>
    </row>
    <row r="23" spans="1:4" x14ac:dyDescent="0.2">
      <c r="A23" t="s">
        <v>168</v>
      </c>
      <c r="B23" s="127" t="s">
        <v>166</v>
      </c>
      <c r="C23" s="127"/>
      <c r="D23" s="127"/>
    </row>
    <row r="24" spans="1:4" x14ac:dyDescent="0.2">
      <c r="A24" s="3" t="s">
        <v>167</v>
      </c>
      <c r="B24" s="106" t="s">
        <v>156</v>
      </c>
      <c r="C24" s="106" t="s">
        <v>157</v>
      </c>
      <c r="D24" s="106" t="s">
        <v>158</v>
      </c>
    </row>
    <row r="25" spans="1:4" x14ac:dyDescent="0.2">
      <c r="A25" t="s">
        <v>159</v>
      </c>
      <c r="B25" s="108">
        <f>$B12*(1-Table25[[#Headers],[20%]])</f>
        <v>2.0000000000000004E-2</v>
      </c>
      <c r="C25" s="108">
        <f>$B12*(1-Table25[[#Headers],[40%]])</f>
        <v>1.4999999999999999E-2</v>
      </c>
      <c r="D25" s="108">
        <f>$B12*(1-Table25[[#Headers],[45%]])</f>
        <v>1.3750000000000002E-2</v>
      </c>
    </row>
    <row r="26" spans="1:4" x14ac:dyDescent="0.2">
      <c r="A26" t="s">
        <v>160</v>
      </c>
      <c r="B26" s="108">
        <f>B25</f>
        <v>2.0000000000000004E-2</v>
      </c>
      <c r="C26" s="108">
        <f>Table25[[#This Row],[20%]]*0.25+C25*0.75</f>
        <v>1.6250000000000001E-2</v>
      </c>
      <c r="D26" s="108">
        <f>Table25[[#This Row],[20%]]*0.25+D25*0.75</f>
        <v>1.5312500000000003E-2</v>
      </c>
    </row>
    <row r="27" spans="1:4" x14ac:dyDescent="0.2">
      <c r="A27" t="s">
        <v>173</v>
      </c>
      <c r="B27" s="108">
        <f>B26/(1-Table25[[#Headers],[20%]])</f>
        <v>2.5000000000000005E-2</v>
      </c>
      <c r="C27" s="108">
        <f>C26/(1-Table25[[#Headers],[40%]])</f>
        <v>2.7083333333333334E-2</v>
      </c>
      <c r="D27" s="108">
        <f>D26/(1-Table25[[#Headers],[45%]])</f>
        <v>2.7840909090909093E-2</v>
      </c>
    </row>
    <row r="28" spans="1:4" x14ac:dyDescent="0.2">
      <c r="A28" t="s">
        <v>172</v>
      </c>
      <c r="B28" s="108">
        <f>B27*(1-20%)/(1-19%)</f>
        <v>2.469135802469136E-2</v>
      </c>
      <c r="C28" s="108">
        <f t="shared" ref="C28:D28" si="4">C27*(1-20%)/(1-19%)</f>
        <v>2.6748971193415638E-2</v>
      </c>
      <c r="D28" s="108">
        <f t="shared" si="4"/>
        <v>2.7497194163860834E-2</v>
      </c>
    </row>
    <row r="32" spans="1:4" x14ac:dyDescent="0.2">
      <c r="A32" t="s">
        <v>169</v>
      </c>
      <c r="B32" s="127" t="s">
        <v>166</v>
      </c>
      <c r="C32" s="127"/>
      <c r="D32" s="127"/>
    </row>
    <row r="33" spans="1:4" x14ac:dyDescent="0.2">
      <c r="A33" s="3" t="s">
        <v>167</v>
      </c>
      <c r="B33" s="106" t="s">
        <v>156</v>
      </c>
      <c r="C33" s="106" t="s">
        <v>157</v>
      </c>
      <c r="D33" s="106" t="s">
        <v>158</v>
      </c>
    </row>
    <row r="34" spans="1:4" x14ac:dyDescent="0.2">
      <c r="A34" t="s">
        <v>159</v>
      </c>
      <c r="B34" s="108">
        <f>$B12*(1-Table256[[#Headers],[20%]])</f>
        <v>2.0000000000000004E-2</v>
      </c>
      <c r="C34" s="108">
        <f>$B12*(1-Table256[[#Headers],[40%]])</f>
        <v>1.4999999999999999E-2</v>
      </c>
      <c r="D34" s="108">
        <f>$B12*(1-Table256[[#Headers],[45%]])</f>
        <v>1.3750000000000002E-2</v>
      </c>
    </row>
    <row r="35" spans="1:4" x14ac:dyDescent="0.2">
      <c r="A35" t="s">
        <v>160</v>
      </c>
      <c r="B35" s="108">
        <f>B34</f>
        <v>2.0000000000000004E-2</v>
      </c>
      <c r="C35" s="108">
        <f>Table256[[#This Row],[20%]]*0.5+C34*0.5</f>
        <v>1.7500000000000002E-2</v>
      </c>
      <c r="D35" s="108">
        <f>Table256[[#This Row],[20%]]*0.5+D34*0.5</f>
        <v>1.6875000000000001E-2</v>
      </c>
    </row>
    <row r="36" spans="1:4" x14ac:dyDescent="0.2">
      <c r="A36" t="s">
        <v>173</v>
      </c>
      <c r="B36" s="108">
        <f>B35/(1-Table256[[#Headers],[20%]])</f>
        <v>2.5000000000000005E-2</v>
      </c>
      <c r="C36" s="108">
        <f>C35/(1-Table256[[#Headers],[40%]])</f>
        <v>2.9166666666666671E-2</v>
      </c>
      <c r="D36" s="108">
        <f>D35/(1-Table256[[#Headers],[45%]])</f>
        <v>3.0681818181818182E-2</v>
      </c>
    </row>
    <row r="37" spans="1:4" x14ac:dyDescent="0.2">
      <c r="A37" t="s">
        <v>172</v>
      </c>
      <c r="B37" s="108">
        <f>B36*(1-20%)/(1-19%)</f>
        <v>2.469135802469136E-2</v>
      </c>
      <c r="C37" s="108">
        <f t="shared" ref="C37:D37" si="5">C36*(1-20%)/(1-19%)</f>
        <v>2.8806584362139922E-2</v>
      </c>
      <c r="D37" s="108">
        <f t="shared" si="5"/>
        <v>3.0303030303030304E-2</v>
      </c>
    </row>
    <row r="41" spans="1:4" x14ac:dyDescent="0.2">
      <c r="A41" t="s">
        <v>170</v>
      </c>
      <c r="B41" s="127" t="s">
        <v>166</v>
      </c>
      <c r="C41" s="127"/>
      <c r="D41" s="127"/>
    </row>
    <row r="42" spans="1:4" x14ac:dyDescent="0.2">
      <c r="A42" s="3" t="s">
        <v>167</v>
      </c>
      <c r="B42" s="106" t="s">
        <v>156</v>
      </c>
      <c r="C42" s="106" t="s">
        <v>157</v>
      </c>
      <c r="D42" s="106" t="s">
        <v>158</v>
      </c>
    </row>
    <row r="43" spans="1:4" x14ac:dyDescent="0.2">
      <c r="A43" t="s">
        <v>159</v>
      </c>
      <c r="B43" s="108">
        <f>$B12*(1-Table2567[[#Headers],[20%]])</f>
        <v>2.0000000000000004E-2</v>
      </c>
      <c r="C43" s="108">
        <f>$B12*(1-Table2567[[#Headers],[40%]])</f>
        <v>1.4999999999999999E-2</v>
      </c>
      <c r="D43" s="108">
        <f>$B12*(1-Table2567[[#Headers],[45%]])</f>
        <v>1.3750000000000002E-2</v>
      </c>
    </row>
    <row r="44" spans="1:4" x14ac:dyDescent="0.2">
      <c r="A44" t="s">
        <v>160</v>
      </c>
      <c r="B44" s="108">
        <f>B43</f>
        <v>2.0000000000000004E-2</v>
      </c>
      <c r="C44" s="108">
        <f>Table2567[[#This Row],[20%]]*0.75+C43*0.25</f>
        <v>1.8750000000000003E-2</v>
      </c>
      <c r="D44" s="108">
        <f>Table2567[[#This Row],[20%]]*0.75+D43*0.25</f>
        <v>1.8437500000000002E-2</v>
      </c>
    </row>
    <row r="45" spans="1:4" x14ac:dyDescent="0.2">
      <c r="A45" t="s">
        <v>173</v>
      </c>
      <c r="B45" s="108">
        <f>B44/(1-Table2567[[#Headers],[20%]])</f>
        <v>2.5000000000000005E-2</v>
      </c>
      <c r="C45" s="108">
        <f>C44/(1-Table2567[[#Headers],[40%]])</f>
        <v>3.1250000000000007E-2</v>
      </c>
      <c r="D45" s="108">
        <f>D44/(1-Table2567[[#Headers],[45%]])</f>
        <v>3.3522727272727273E-2</v>
      </c>
    </row>
    <row r="46" spans="1:4" x14ac:dyDescent="0.2">
      <c r="A46" t="s">
        <v>172</v>
      </c>
      <c r="B46" s="108">
        <f>B45*(1-20%)/(1-19%)</f>
        <v>2.469135802469136E-2</v>
      </c>
      <c r="C46" s="108">
        <f t="shared" ref="C46:D46" si="6">C45*(1-20%)/(1-19%)</f>
        <v>3.0864197530864206E-2</v>
      </c>
      <c r="D46" s="108">
        <f t="shared" si="6"/>
        <v>3.3108866442199777E-2</v>
      </c>
    </row>
    <row r="50" spans="1:4" x14ac:dyDescent="0.2">
      <c r="A50" t="s">
        <v>171</v>
      </c>
      <c r="B50" s="127" t="s">
        <v>166</v>
      </c>
      <c r="C50" s="127"/>
      <c r="D50" s="127"/>
    </row>
    <row r="51" spans="1:4" x14ac:dyDescent="0.2">
      <c r="A51" s="3" t="s">
        <v>167</v>
      </c>
      <c r="B51" s="106" t="s">
        <v>156</v>
      </c>
      <c r="C51" s="106" t="s">
        <v>157</v>
      </c>
      <c r="D51" s="106" t="s">
        <v>158</v>
      </c>
    </row>
    <row r="52" spans="1:4" x14ac:dyDescent="0.2">
      <c r="A52" t="s">
        <v>159</v>
      </c>
      <c r="B52" s="108">
        <f>$B12*(1-Table2[[#Headers],[20%]])</f>
        <v>2.0000000000000004E-2</v>
      </c>
      <c r="C52" s="108">
        <f>$B12*(1-Table2[[#Headers],[40%]])</f>
        <v>1.4999999999999999E-2</v>
      </c>
      <c r="D52" s="108">
        <f>$B12*(1-Table2[[#Headers],[45%]])</f>
        <v>1.3750000000000002E-2</v>
      </c>
    </row>
    <row r="53" spans="1:4" x14ac:dyDescent="0.2">
      <c r="A53" t="s">
        <v>160</v>
      </c>
      <c r="B53" s="108">
        <f>B52</f>
        <v>2.0000000000000004E-2</v>
      </c>
      <c r="C53" s="108">
        <f>Table2[[#This Row],[20%]]</f>
        <v>2.0000000000000004E-2</v>
      </c>
      <c r="D53" s="108">
        <f>Table2[[#This Row],[40%]]</f>
        <v>2.0000000000000004E-2</v>
      </c>
    </row>
    <row r="54" spans="1:4" x14ac:dyDescent="0.2">
      <c r="A54" t="s">
        <v>173</v>
      </c>
      <c r="B54" s="108">
        <f>B53/(1-Table2[[#Headers],[20%]])</f>
        <v>2.5000000000000005E-2</v>
      </c>
      <c r="C54" s="108">
        <f>C53/(1-Table2[[#Headers],[40%]])</f>
        <v>3.333333333333334E-2</v>
      </c>
      <c r="D54" s="108">
        <f>D53/(1-Table2[[#Headers],[45%]])</f>
        <v>3.6363636363636369E-2</v>
      </c>
    </row>
    <row r="55" spans="1:4" x14ac:dyDescent="0.2">
      <c r="A55" t="s">
        <v>163</v>
      </c>
      <c r="B55" s="108">
        <f t="shared" ref="B55:C55" si="7">B54*(1-20%)/(1-18%)</f>
        <v>2.4390243902439029E-2</v>
      </c>
      <c r="C55" s="108">
        <f t="shared" si="7"/>
        <v>3.2520325203252036E-2</v>
      </c>
      <c r="D55" s="108">
        <f>D54*(1-20%)/(1-18%)</f>
        <v>3.5476718403547679E-2</v>
      </c>
    </row>
  </sheetData>
  <mergeCells count="5">
    <mergeCell ref="B50:D50"/>
    <mergeCell ref="B23:D23"/>
    <mergeCell ref="B32:D32"/>
    <mergeCell ref="B41:D41"/>
    <mergeCell ref="B14:D14"/>
  </mergeCells>
  <pageMargins left="0.7" right="0.7" top="0.75" bottom="0.75" header="0.3" footer="0.3"/>
  <pageSetup paperSize="9" orientation="portrait" verticalDpi="0" r:id="rId1"/>
  <tableParts count="5">
    <tablePart r:id="rId2"/>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Guide</vt:lpstr>
      <vt:lpstr>Summary</vt:lpstr>
      <vt:lpstr>Legislation</vt:lpstr>
      <vt:lpstr>Incorporation costs</vt:lpstr>
      <vt:lpstr>Income and Tax</vt:lpstr>
      <vt:lpstr>Interest Rate Break-Even</vt:lpstr>
      <vt:lpstr>Guide!Print_Area</vt:lpstr>
      <vt:lpstr>'Income and Tax'!Print_Area</vt:lpstr>
      <vt:lpstr>'Incorporation costs'!Print_Area</vt:lpstr>
      <vt:lpstr>Legislation!Print_Area</vt:lpstr>
      <vt:lpstr>Summary!Print_Area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Whittaker</dc:creator>
  <cp:lastModifiedBy>Simon Whittaker</cp:lastModifiedBy>
  <cp:lastPrinted>2015-08-25T15:33:03Z</cp:lastPrinted>
  <dcterms:created xsi:type="dcterms:W3CDTF">2015-07-09T11:13:46Z</dcterms:created>
  <dcterms:modified xsi:type="dcterms:W3CDTF">2015-12-29T16:03:38Z</dcterms:modified>
</cp:coreProperties>
</file>