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S:\Marketing\Website\New Website 2014\Calculators\"/>
    </mc:Choice>
  </mc:AlternateContent>
  <bookViews>
    <workbookView xWindow="0" yWindow="0" windowWidth="28800" windowHeight="12480" activeTab="1"/>
  </bookViews>
  <sheets>
    <sheet name="Guide" sheetId="4" r:id="rId1"/>
    <sheet name="Summary" sheetId="5" r:id="rId2"/>
    <sheet name="Legislation" sheetId="1" r:id="rId3"/>
    <sheet name="Incorporation costs" sheetId="3" r:id="rId4"/>
    <sheet name="Income and Tax" sheetId="2" r:id="rId5"/>
    <sheet name="Interest Rate Break-Even" sheetId="6" r:id="rId6"/>
  </sheets>
  <definedNames>
    <definedName name="_xlnm.Print_Area" localSheetId="0">Guide!$A$1:$A$68</definedName>
    <definedName name="_xlnm.Print_Area" localSheetId="4">'Income and Tax'!$A$1:$M$93</definedName>
    <definedName name="_xlnm.Print_Area" localSheetId="3">'Incorporation costs'!$A$1:$E$39</definedName>
    <definedName name="_xlnm.Print_Area" localSheetId="2">Legislation!$A$1:$G$57</definedName>
    <definedName name="_xlnm.Print_Area" localSheetId="1">Summary!$A$2:$J$29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K5" i="2"/>
  <c r="L5" i="2"/>
  <c r="M5" i="2"/>
  <c r="I5" i="2"/>
  <c r="M43" i="2" l="1"/>
  <c r="A69" i="4"/>
  <c r="J29" i="2"/>
  <c r="K29" i="2"/>
  <c r="L29" i="2"/>
  <c r="M29" i="2"/>
  <c r="I29" i="2"/>
  <c r="D29" i="2"/>
  <c r="E29" i="2"/>
  <c r="F29" i="2"/>
  <c r="G29" i="2"/>
  <c r="C29" i="2"/>
  <c r="D178" i="2"/>
  <c r="E178" i="2" s="1"/>
  <c r="F178" i="2" s="1"/>
  <c r="G178" i="2" s="1"/>
  <c r="I178" i="2" s="1"/>
  <c r="J178" i="2" s="1"/>
  <c r="K178" i="2" s="1"/>
  <c r="L178" i="2" s="1"/>
  <c r="M178" i="2" s="1"/>
  <c r="D143" i="2" l="1"/>
  <c r="J143" i="2" s="1"/>
  <c r="E143" i="2"/>
  <c r="K143" i="2" s="1"/>
  <c r="F143" i="2"/>
  <c r="L143" i="2" s="1"/>
  <c r="G143" i="2"/>
  <c r="M143" i="2" s="1"/>
  <c r="C143" i="2"/>
  <c r="I143" i="2" s="1"/>
  <c r="T160" i="2"/>
  <c r="Z160" i="2"/>
  <c r="T161" i="2"/>
  <c r="Z161" i="2"/>
  <c r="T162" i="2"/>
  <c r="Z162" i="2"/>
  <c r="T163" i="2"/>
  <c r="Z163" i="2"/>
  <c r="T164" i="2"/>
  <c r="Z164" i="2"/>
  <c r="T165" i="2"/>
  <c r="Z165" i="2"/>
  <c r="T166" i="2"/>
  <c r="Z166" i="2"/>
  <c r="T167" i="2"/>
  <c r="Z167" i="2"/>
  <c r="T168" i="2"/>
  <c r="Z168" i="2"/>
  <c r="B172" i="2"/>
  <c r="B173" i="2"/>
  <c r="B174" i="2"/>
  <c r="B175" i="2"/>
  <c r="B176" i="2"/>
  <c r="B177" i="2"/>
  <c r="B178" i="2"/>
  <c r="B179" i="2"/>
  <c r="B180" i="2"/>
  <c r="C97" i="3" l="1"/>
  <c r="C98" i="3" l="1"/>
  <c r="D76" i="3" l="1"/>
  <c r="C99" i="3" l="1"/>
  <c r="C95" i="3"/>
  <c r="C96" i="3"/>
  <c r="C92" i="3"/>
  <c r="C90" i="3"/>
  <c r="C91" i="3"/>
  <c r="C93" i="3"/>
  <c r="C94" i="3"/>
  <c r="C100" i="3"/>
  <c r="C101" i="3"/>
  <c r="C102" i="3"/>
  <c r="E102" i="3" s="1"/>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B88" i="3"/>
  <c r="D74" i="3"/>
  <c r="D75" i="3"/>
  <c r="B87" i="3"/>
  <c r="B74" i="3"/>
  <c r="A74" i="3"/>
  <c r="B75" i="3"/>
  <c r="A75" i="3"/>
  <c r="B76" i="3"/>
  <c r="A76" i="3"/>
  <c r="B77" i="3"/>
  <c r="A77" i="3"/>
  <c r="B78" i="3"/>
  <c r="B81" i="3"/>
  <c r="B79" i="3"/>
  <c r="A88" i="3"/>
  <c r="A82" i="3"/>
  <c r="B82" i="3"/>
  <c r="D73" i="3"/>
  <c r="A87" i="3"/>
  <c r="B90" i="3"/>
  <c r="D28" i="3" s="1"/>
  <c r="C80" i="3"/>
  <c r="D80" i="3"/>
  <c r="A80" i="3"/>
  <c r="B80" i="3"/>
  <c r="A81" i="3"/>
  <c r="B73" i="3"/>
  <c r="C43" i="6"/>
  <c r="D43" i="6"/>
  <c r="B43" i="6"/>
  <c r="B44" i="6" s="1"/>
  <c r="C34" i="6"/>
  <c r="D34" i="6"/>
  <c r="D35" i="6" s="1"/>
  <c r="D36" i="6" s="1"/>
  <c r="D37" i="6" s="1"/>
  <c r="D17" i="6" s="1"/>
  <c r="B34" i="6"/>
  <c r="B35" i="6"/>
  <c r="C35" i="6" s="1"/>
  <c r="C36" i="6" s="1"/>
  <c r="C37" i="6" s="1"/>
  <c r="C17" i="6" s="1"/>
  <c r="C25" i="6"/>
  <c r="D25" i="6"/>
  <c r="B25" i="6"/>
  <c r="B26" i="6" s="1"/>
  <c r="B52" i="6"/>
  <c r="B53" i="6" s="1"/>
  <c r="C52" i="6"/>
  <c r="D52" i="6"/>
  <c r="C19" i="2"/>
  <c r="C18" i="2"/>
  <c r="D18" i="2" s="1"/>
  <c r="C4" i="2"/>
  <c r="D4" i="2" s="1"/>
  <c r="C5" i="2"/>
  <c r="C3" i="2"/>
  <c r="B92" i="2"/>
  <c r="B91" i="2"/>
  <c r="C7" i="1"/>
  <c r="C19" i="1" s="1"/>
  <c r="D75" i="2" s="1"/>
  <c r="J75" i="2" s="1"/>
  <c r="A73" i="2"/>
  <c r="C73" i="2"/>
  <c r="I73" i="2" s="1"/>
  <c r="D73" i="2"/>
  <c r="J73" i="2" s="1"/>
  <c r="E73" i="2"/>
  <c r="K73" i="2" s="1"/>
  <c r="F73" i="2"/>
  <c r="L73" i="2" s="1"/>
  <c r="G73" i="2"/>
  <c r="M73" i="2" s="1"/>
  <c r="A74" i="2"/>
  <c r="C74" i="2"/>
  <c r="I74" i="2" s="1"/>
  <c r="D74" i="2"/>
  <c r="J74" i="2" s="1"/>
  <c r="E74" i="2"/>
  <c r="K74" i="2" s="1"/>
  <c r="F74" i="2"/>
  <c r="L74" i="2" s="1"/>
  <c r="G74" i="2"/>
  <c r="M74" i="2" s="1"/>
  <c r="A75" i="2"/>
  <c r="C75" i="2"/>
  <c r="A76" i="2"/>
  <c r="A77" i="2"/>
  <c r="C77" i="2"/>
  <c r="I77" i="2" s="1"/>
  <c r="D77" i="2"/>
  <c r="J77" i="2" s="1"/>
  <c r="E77" i="2"/>
  <c r="K77" i="2" s="1"/>
  <c r="F77" i="2"/>
  <c r="L77" i="2" s="1"/>
  <c r="G77" i="2"/>
  <c r="M77" i="2" s="1"/>
  <c r="A78" i="2"/>
  <c r="C78" i="2"/>
  <c r="I78" i="2" s="1"/>
  <c r="D78" i="2"/>
  <c r="J78" i="2" s="1"/>
  <c r="E78" i="2"/>
  <c r="K78" i="2" s="1"/>
  <c r="F78" i="2"/>
  <c r="L78" i="2" s="1"/>
  <c r="G78" i="2"/>
  <c r="M78" i="2" s="1"/>
  <c r="A79" i="2"/>
  <c r="C79" i="2"/>
  <c r="I79" i="2" s="1"/>
  <c r="D79" i="2"/>
  <c r="J79" i="2" s="1"/>
  <c r="E79" i="2"/>
  <c r="K79" i="2" s="1"/>
  <c r="F79" i="2"/>
  <c r="L79" i="2" s="1"/>
  <c r="G79" i="2"/>
  <c r="M79" i="2" s="1"/>
  <c r="C20" i="1"/>
  <c r="D76" i="2" s="1"/>
  <c r="J76" i="2" s="1"/>
  <c r="B20" i="1"/>
  <c r="C76" i="2"/>
  <c r="I76" i="2" s="1"/>
  <c r="D56" i="2"/>
  <c r="E56" i="2" s="1"/>
  <c r="F56" i="2" s="1"/>
  <c r="G56" i="2" s="1"/>
  <c r="I56" i="2"/>
  <c r="J56" i="2" s="1"/>
  <c r="K56" i="2" s="1"/>
  <c r="L56" i="2" s="1"/>
  <c r="M56" i="2" s="1"/>
  <c r="C140" i="2"/>
  <c r="A128" i="2"/>
  <c r="A140" i="2" s="1"/>
  <c r="A127" i="2"/>
  <c r="A139" i="2" s="1"/>
  <c r="A126" i="2"/>
  <c r="A138" i="2" s="1"/>
  <c r="A125" i="2"/>
  <c r="A137" i="2" s="1"/>
  <c r="A124" i="2"/>
  <c r="A136" i="2" s="1"/>
  <c r="A123" i="2"/>
  <c r="A135" i="2" s="1"/>
  <c r="A122" i="2"/>
  <c r="A134" i="2" s="1"/>
  <c r="A121" i="2"/>
  <c r="A133" i="2" s="1"/>
  <c r="A120" i="2"/>
  <c r="A132" i="2" s="1"/>
  <c r="A119" i="2"/>
  <c r="A131" i="2" s="1"/>
  <c r="B14" i="2"/>
  <c r="H35" i="2" s="1"/>
  <c r="A16" i="4"/>
  <c r="C19" i="5"/>
  <c r="H5" i="5"/>
  <c r="H6" i="5"/>
  <c r="F18" i="5"/>
  <c r="C18" i="5"/>
  <c r="K20" i="5"/>
  <c r="L20" i="5"/>
  <c r="M20" i="5"/>
  <c r="N20" i="5"/>
  <c r="O20" i="5"/>
  <c r="K22" i="5"/>
  <c r="L22" i="5"/>
  <c r="M22" i="5"/>
  <c r="N22" i="5"/>
  <c r="O22" i="5"/>
  <c r="K24" i="5"/>
  <c r="L24" i="5"/>
  <c r="M24" i="5"/>
  <c r="N24" i="5"/>
  <c r="O24" i="5"/>
  <c r="K26" i="5"/>
  <c r="L26" i="5"/>
  <c r="M26" i="5"/>
  <c r="N26" i="5"/>
  <c r="O26" i="5"/>
  <c r="K28" i="5"/>
  <c r="L28" i="5"/>
  <c r="M28" i="5"/>
  <c r="N28" i="5"/>
  <c r="O28" i="5"/>
  <c r="K29" i="5"/>
  <c r="L29" i="5"/>
  <c r="M29" i="5"/>
  <c r="N29" i="5"/>
  <c r="O29" i="5"/>
  <c r="F15" i="5"/>
  <c r="C148" i="2"/>
  <c r="E7" i="5"/>
  <c r="D6" i="5"/>
  <c r="O5" i="2"/>
  <c r="A36" i="2" s="1"/>
  <c r="B5" i="2"/>
  <c r="A79" i="3"/>
  <c r="C4" i="3"/>
  <c r="B98" i="3"/>
  <c r="D36" i="3" s="1"/>
  <c r="B99" i="3"/>
  <c r="D37" i="3" s="1"/>
  <c r="B100" i="3"/>
  <c r="D38" i="3" s="1"/>
  <c r="B101" i="3"/>
  <c r="D39" i="3" s="1"/>
  <c r="B102" i="3"/>
  <c r="D40" i="3" s="1"/>
  <c r="B103" i="3"/>
  <c r="D41" i="3" s="1"/>
  <c r="B104" i="3"/>
  <c r="D42" i="3" s="1"/>
  <c r="B105" i="3"/>
  <c r="D43" i="3" s="1"/>
  <c r="B106" i="3"/>
  <c r="D44" i="3" s="1"/>
  <c r="B107" i="3"/>
  <c r="D45" i="3" s="1"/>
  <c r="B108" i="3"/>
  <c r="D46" i="3" s="1"/>
  <c r="B109" i="3"/>
  <c r="D47" i="3" s="1"/>
  <c r="B110" i="3"/>
  <c r="D48" i="3" s="1"/>
  <c r="B111" i="3"/>
  <c r="D49" i="3" s="1"/>
  <c r="B112" i="3"/>
  <c r="D50" i="3" s="1"/>
  <c r="B113" i="3"/>
  <c r="D51" i="3" s="1"/>
  <c r="B114" i="3"/>
  <c r="D52" i="3" s="1"/>
  <c r="B115" i="3"/>
  <c r="D53" i="3" s="1"/>
  <c r="B116" i="3"/>
  <c r="D54" i="3" s="1"/>
  <c r="B117" i="3"/>
  <c r="D55" i="3" s="1"/>
  <c r="B118" i="3"/>
  <c r="D56" i="3" s="1"/>
  <c r="B119" i="3"/>
  <c r="D57" i="3" s="1"/>
  <c r="B120" i="3"/>
  <c r="D58" i="3" s="1"/>
  <c r="B121" i="3"/>
  <c r="D59" i="3" s="1"/>
  <c r="B122" i="3"/>
  <c r="D60" i="3" s="1"/>
  <c r="B123" i="3"/>
  <c r="D61" i="3" s="1"/>
  <c r="B124" i="3"/>
  <c r="D62" i="3" s="1"/>
  <c r="B125" i="3"/>
  <c r="D63" i="3" s="1"/>
  <c r="B126" i="3"/>
  <c r="D64" i="3" s="1"/>
  <c r="B127" i="3"/>
  <c r="B128" i="3"/>
  <c r="B91" i="3"/>
  <c r="D29" i="3" s="1"/>
  <c r="B92" i="3"/>
  <c r="D30" i="3" s="1"/>
  <c r="B93" i="3"/>
  <c r="D31" i="3" s="1"/>
  <c r="B94" i="3"/>
  <c r="D32" i="3" s="1"/>
  <c r="B95" i="3"/>
  <c r="D33" i="3" s="1"/>
  <c r="B96" i="3"/>
  <c r="D34" i="3" s="1"/>
  <c r="B97" i="3"/>
  <c r="D35" i="3" s="1"/>
  <c r="A78" i="3"/>
  <c r="A73" i="3"/>
  <c r="B14" i="1"/>
  <c r="C70" i="2" s="1"/>
  <c r="C11" i="1"/>
  <c r="B11" i="1"/>
  <c r="C15" i="1"/>
  <c r="C14" i="1" s="1"/>
  <c r="D70" i="2" s="1"/>
  <c r="J70" i="2" s="1"/>
  <c r="E7" i="1"/>
  <c r="F7" i="1"/>
  <c r="D7" i="1"/>
  <c r="D10" i="1" s="1"/>
  <c r="E3" i="1"/>
  <c r="F3" i="1"/>
  <c r="D3" i="1"/>
  <c r="C193" i="2"/>
  <c r="A173" i="2"/>
  <c r="A185" i="2" s="1"/>
  <c r="A174" i="2"/>
  <c r="A186" i="2" s="1"/>
  <c r="A175" i="2"/>
  <c r="A187" i="2" s="1"/>
  <c r="A176" i="2"/>
  <c r="A188" i="2" s="1"/>
  <c r="A177" i="2"/>
  <c r="A189" i="2" s="1"/>
  <c r="A178" i="2"/>
  <c r="A190" i="2" s="1"/>
  <c r="A179" i="2"/>
  <c r="A191" i="2" s="1"/>
  <c r="A180" i="2"/>
  <c r="A192" i="2" s="1"/>
  <c r="A181" i="2"/>
  <c r="A193" i="2" s="1"/>
  <c r="A172" i="2"/>
  <c r="A184" i="2" s="1"/>
  <c r="A59" i="2"/>
  <c r="C87" i="2"/>
  <c r="A88" i="2"/>
  <c r="C88" i="2"/>
  <c r="I88" i="2" s="1"/>
  <c r="C71" i="2"/>
  <c r="D71" i="2"/>
  <c r="J71" i="2" s="1"/>
  <c r="C72" i="2"/>
  <c r="I72" i="2" s="1"/>
  <c r="D72" i="2"/>
  <c r="J72" i="2" s="1"/>
  <c r="E72" i="2"/>
  <c r="K72" i="2" s="1"/>
  <c r="F72" i="2"/>
  <c r="L72" i="2" s="1"/>
  <c r="G72" i="2"/>
  <c r="M72" i="2" s="1"/>
  <c r="C82" i="2"/>
  <c r="I82" i="2" s="1"/>
  <c r="D82" i="2"/>
  <c r="J82" i="2" s="1"/>
  <c r="G82" i="2"/>
  <c r="M82" i="2" s="1"/>
  <c r="C83" i="2"/>
  <c r="I83" i="2" s="1"/>
  <c r="D83" i="2"/>
  <c r="J83" i="2" s="1"/>
  <c r="E83" i="2"/>
  <c r="K83" i="2" s="1"/>
  <c r="F83" i="2"/>
  <c r="L83" i="2" s="1"/>
  <c r="G83" i="2"/>
  <c r="M83" i="2" s="1"/>
  <c r="C84" i="2"/>
  <c r="I84" i="2" s="1"/>
  <c r="D84" i="2"/>
  <c r="J84" i="2" s="1"/>
  <c r="E84" i="2"/>
  <c r="K84" i="2" s="1"/>
  <c r="F84" i="2"/>
  <c r="L84" i="2" s="1"/>
  <c r="G84" i="2"/>
  <c r="M84" i="2" s="1"/>
  <c r="C85" i="2"/>
  <c r="I85" i="2" s="1"/>
  <c r="C86" i="2"/>
  <c r="D69" i="2"/>
  <c r="J69" i="2" s="1"/>
  <c r="E69" i="2"/>
  <c r="K69" i="2" s="1"/>
  <c r="F69" i="2"/>
  <c r="L69" i="2" s="1"/>
  <c r="G69" i="2"/>
  <c r="M69" i="2" s="1"/>
  <c r="C69" i="2"/>
  <c r="I69" i="2" s="1"/>
  <c r="A68" i="2"/>
  <c r="A69" i="2"/>
  <c r="A70" i="2"/>
  <c r="A71" i="2"/>
  <c r="A72" i="2"/>
  <c r="A82" i="2"/>
  <c r="A83" i="2"/>
  <c r="C30" i="1"/>
  <c r="D86" i="2"/>
  <c r="J86" i="2" s="1"/>
  <c r="C31" i="1"/>
  <c r="D87" i="2"/>
  <c r="J87" i="2" s="1"/>
  <c r="C29" i="1"/>
  <c r="D29" i="1"/>
  <c r="E85" i="2" s="1"/>
  <c r="A65" i="2"/>
  <c r="A66" i="2"/>
  <c r="A67" i="2"/>
  <c r="C64" i="2"/>
  <c r="I64" i="2" s="1"/>
  <c r="D64" i="2"/>
  <c r="J64" i="2" s="1"/>
  <c r="E64" i="2"/>
  <c r="K64" i="2" s="1"/>
  <c r="F64" i="2"/>
  <c r="L64" i="2" s="1"/>
  <c r="G64" i="2"/>
  <c r="M64" i="2" s="1"/>
  <c r="A57" i="2"/>
  <c r="A58" i="2"/>
  <c r="A56" i="2"/>
  <c r="I18" i="2"/>
  <c r="I147" i="2" s="1"/>
  <c r="B25" i="1"/>
  <c r="C81" i="2" s="1"/>
  <c r="I81" i="2" s="1"/>
  <c r="I3" i="2"/>
  <c r="I7" i="2" s="1"/>
  <c r="D19" i="2"/>
  <c r="D5" i="2"/>
  <c r="D3" i="2"/>
  <c r="C2" i="2"/>
  <c r="I2" i="2" s="1"/>
  <c r="E2" i="2"/>
  <c r="K2" i="2" s="1"/>
  <c r="F2" i="2"/>
  <c r="L2" i="2" s="1"/>
  <c r="G2" i="2"/>
  <c r="M2" i="2" s="1"/>
  <c r="D2" i="2"/>
  <c r="J2" i="2" s="1"/>
  <c r="A31" i="1"/>
  <c r="A87" i="2" s="1"/>
  <c r="A29" i="1"/>
  <c r="A85" i="2" s="1"/>
  <c r="A30" i="1"/>
  <c r="A86" i="2" s="1"/>
  <c r="A28" i="1"/>
  <c r="A84" i="2" s="1"/>
  <c r="D26" i="1"/>
  <c r="D25" i="1"/>
  <c r="E81" i="2" s="1"/>
  <c r="K81" i="2" s="1"/>
  <c r="E25" i="1"/>
  <c r="F81" i="2" s="1"/>
  <c r="L81" i="2" s="1"/>
  <c r="F25" i="1"/>
  <c r="G81" i="2" s="1"/>
  <c r="M81" i="2" s="1"/>
  <c r="C25" i="1"/>
  <c r="D81" i="2" s="1"/>
  <c r="J81" i="2" s="1"/>
  <c r="D85" i="2"/>
  <c r="J85" i="2" s="1"/>
  <c r="D31" i="1"/>
  <c r="E87" i="2"/>
  <c r="K87" i="2" s="1"/>
  <c r="D88" i="2"/>
  <c r="J88" i="2" s="1"/>
  <c r="D11" i="1"/>
  <c r="I71" i="2"/>
  <c r="D30" i="1"/>
  <c r="E30" i="1" s="1"/>
  <c r="E31" i="1"/>
  <c r="F31" i="1" s="1"/>
  <c r="G87" i="2" s="1"/>
  <c r="E5" i="2" l="1"/>
  <c r="J19" i="2"/>
  <c r="D144" i="2"/>
  <c r="I19" i="2"/>
  <c r="C144" i="2"/>
  <c r="E18" i="2"/>
  <c r="F18" i="2" s="1"/>
  <c r="J18" i="2"/>
  <c r="J147" i="2" s="1"/>
  <c r="F5" i="2"/>
  <c r="O14" i="2"/>
  <c r="A37" i="2" s="1"/>
  <c r="C149" i="2"/>
  <c r="C179" i="2" s="1"/>
  <c r="D6" i="2"/>
  <c r="D20" i="2" s="1"/>
  <c r="D23" i="2" s="1"/>
  <c r="D65" i="2" s="1"/>
  <c r="D98" i="2" s="1"/>
  <c r="O4" i="2"/>
  <c r="A35" i="2" s="1"/>
  <c r="E3" i="2"/>
  <c r="E4" i="2"/>
  <c r="J4" i="2"/>
  <c r="B54" i="6"/>
  <c r="B55" i="6" s="1"/>
  <c r="B19" i="6" s="1"/>
  <c r="C53" i="6"/>
  <c r="B45" i="6"/>
  <c r="B46" i="6" s="1"/>
  <c r="B18" i="6" s="1"/>
  <c r="D44" i="6"/>
  <c r="D45" i="6" s="1"/>
  <c r="D46" i="6" s="1"/>
  <c r="D18" i="6" s="1"/>
  <c r="C44" i="6"/>
  <c r="C45" i="6" s="1"/>
  <c r="C46" i="6" s="1"/>
  <c r="C18" i="6" s="1"/>
  <c r="D26" i="6"/>
  <c r="D27" i="6" s="1"/>
  <c r="D28" i="6" s="1"/>
  <c r="D16" i="6" s="1"/>
  <c r="C26" i="6"/>
  <c r="C27" i="6" s="1"/>
  <c r="C28" i="6" s="1"/>
  <c r="C16" i="6" s="1"/>
  <c r="B27" i="6"/>
  <c r="B28" i="6" s="1"/>
  <c r="B16" i="6" s="1"/>
  <c r="E19" i="2"/>
  <c r="E144" i="2" s="1"/>
  <c r="J3" i="2"/>
  <c r="J7" i="2" s="1"/>
  <c r="D148" i="2"/>
  <c r="D149" i="2" s="1"/>
  <c r="D179" i="2" s="1"/>
  <c r="I4" i="2"/>
  <c r="I8" i="2" s="1"/>
  <c r="C6" i="2"/>
  <c r="C20" i="2" s="1"/>
  <c r="C54" i="2" s="1"/>
  <c r="B36" i="6"/>
  <c r="B37" i="6" s="1"/>
  <c r="B17" i="6" s="1"/>
  <c r="E127" i="3"/>
  <c r="E123" i="3"/>
  <c r="E119" i="3"/>
  <c r="E115" i="3"/>
  <c r="E111" i="3"/>
  <c r="E107" i="3"/>
  <c r="E103" i="3"/>
  <c r="E122" i="3"/>
  <c r="E118" i="3"/>
  <c r="E110" i="3"/>
  <c r="E106" i="3"/>
  <c r="F87" i="2"/>
  <c r="L87" i="2" s="1"/>
  <c r="D15" i="1"/>
  <c r="E73" i="3"/>
  <c r="E76" i="3"/>
  <c r="D108" i="3" s="1"/>
  <c r="E74" i="3"/>
  <c r="E75" i="3"/>
  <c r="E125" i="3"/>
  <c r="E121" i="3"/>
  <c r="E117" i="3"/>
  <c r="E113" i="3"/>
  <c r="E109" i="3"/>
  <c r="D109" i="3"/>
  <c r="E105" i="3"/>
  <c r="E101" i="3"/>
  <c r="E128" i="3"/>
  <c r="E124" i="3"/>
  <c r="E120" i="3"/>
  <c r="E116" i="3"/>
  <c r="E112" i="3"/>
  <c r="E108" i="3"/>
  <c r="E104" i="3"/>
  <c r="E90" i="3"/>
  <c r="A90" i="3"/>
  <c r="E98" i="3"/>
  <c r="E97" i="3"/>
  <c r="E99" i="3"/>
  <c r="E93" i="3"/>
  <c r="E91" i="3"/>
  <c r="E96" i="3"/>
  <c r="D96" i="3"/>
  <c r="E94" i="3"/>
  <c r="E95" i="3"/>
  <c r="C74" i="3"/>
  <c r="M87" i="2"/>
  <c r="E26" i="1"/>
  <c r="F82" i="2" s="1"/>
  <c r="L82" i="2" s="1"/>
  <c r="E82" i="2"/>
  <c r="K82" i="2" s="1"/>
  <c r="I75" i="2"/>
  <c r="F30" i="1"/>
  <c r="G86" i="2" s="1"/>
  <c r="F86" i="2"/>
  <c r="K85" i="2"/>
  <c r="E88" i="2"/>
  <c r="E10" i="1"/>
  <c r="I86" i="2"/>
  <c r="D54" i="2"/>
  <c r="D95" i="2" s="1"/>
  <c r="D119" i="2" s="1"/>
  <c r="E86" i="2"/>
  <c r="E29" i="1"/>
  <c r="I70" i="2"/>
  <c r="I87" i="2"/>
  <c r="D19" i="1"/>
  <c r="D9" i="1"/>
  <c r="D20" i="1" s="1"/>
  <c r="E76" i="2" s="1"/>
  <c r="K76" i="2" s="1"/>
  <c r="A105" i="3"/>
  <c r="C43" i="3" s="1"/>
  <c r="A110" i="3"/>
  <c r="C48" i="3" s="1"/>
  <c r="A99" i="3"/>
  <c r="C37" i="3" s="1"/>
  <c r="A121" i="3"/>
  <c r="C59" i="3" s="1"/>
  <c r="A104" i="3"/>
  <c r="C42" i="3" s="1"/>
  <c r="A92" i="3"/>
  <c r="C30" i="3" s="1"/>
  <c r="A107" i="3"/>
  <c r="C45" i="3" s="1"/>
  <c r="E92" i="3"/>
  <c r="A126" i="3"/>
  <c r="C64" i="3" s="1"/>
  <c r="A114" i="3"/>
  <c r="C52" i="3" s="1"/>
  <c r="A116" i="3"/>
  <c r="C54" i="3" s="1"/>
  <c r="E9" i="1"/>
  <c r="D14" i="1"/>
  <c r="E70" i="2" s="1"/>
  <c r="A91" i="3"/>
  <c r="C29" i="3" s="1"/>
  <c r="A127" i="3"/>
  <c r="A125" i="3"/>
  <c r="C63" i="3" s="1"/>
  <c r="A122" i="3"/>
  <c r="C60" i="3" s="1"/>
  <c r="A119" i="3"/>
  <c r="C57" i="3" s="1"/>
  <c r="A113" i="3"/>
  <c r="C51" i="3" s="1"/>
  <c r="A108" i="3"/>
  <c r="C46" i="3" s="1"/>
  <c r="A102" i="3"/>
  <c r="C40" i="3" s="1"/>
  <c r="A124" i="3"/>
  <c r="C62" i="3" s="1"/>
  <c r="A118" i="3"/>
  <c r="C56" i="3" s="1"/>
  <c r="A115" i="3"/>
  <c r="C53" i="3" s="1"/>
  <c r="A112" i="3"/>
  <c r="C50" i="3" s="1"/>
  <c r="A109" i="3"/>
  <c r="C47" i="3" s="1"/>
  <c r="A106" i="3"/>
  <c r="C44" i="3" s="1"/>
  <c r="A103" i="3"/>
  <c r="C41" i="3" s="1"/>
  <c r="E126" i="3"/>
  <c r="E114" i="3"/>
  <c r="A101" i="3"/>
  <c r="C39" i="3" s="1"/>
  <c r="C75" i="3"/>
  <c r="A128" i="3"/>
  <c r="A123" i="3"/>
  <c r="C61" i="3" s="1"/>
  <c r="A120" i="3"/>
  <c r="C58" i="3" s="1"/>
  <c r="A117" i="3"/>
  <c r="C55" i="3" s="1"/>
  <c r="A111" i="3"/>
  <c r="C49" i="3" s="1"/>
  <c r="A93" i="3"/>
  <c r="C31" i="3" s="1"/>
  <c r="A96" i="3"/>
  <c r="C34" i="3" s="1"/>
  <c r="A98" i="3"/>
  <c r="C36" i="3" s="1"/>
  <c r="A95" i="3"/>
  <c r="C33" i="3" s="1"/>
  <c r="A94" i="3"/>
  <c r="C32" i="3" s="1"/>
  <c r="A97" i="3"/>
  <c r="C35" i="3" s="1"/>
  <c r="B132" i="3"/>
  <c r="A100" i="3"/>
  <c r="C38" i="3" s="1"/>
  <c r="E100" i="3"/>
  <c r="C3" i="3"/>
  <c r="C132" i="3"/>
  <c r="D95" i="3" l="1"/>
  <c r="E138" i="3"/>
  <c r="D90" i="3"/>
  <c r="D92" i="3"/>
  <c r="D97" i="3"/>
  <c r="D101" i="3"/>
  <c r="D106" i="3"/>
  <c r="C76" i="3"/>
  <c r="D93" i="3"/>
  <c r="D124" i="3"/>
  <c r="D116" i="3"/>
  <c r="D117" i="3"/>
  <c r="C176" i="2"/>
  <c r="C172" i="2"/>
  <c r="D147" i="2"/>
  <c r="D180" i="2" s="1"/>
  <c r="J8" i="2"/>
  <c r="J92" i="2" s="1"/>
  <c r="J10" i="2" s="1"/>
  <c r="J33" i="2" s="1"/>
  <c r="G21" i="5" s="1"/>
  <c r="K18" i="2"/>
  <c r="K147" i="2" s="1"/>
  <c r="G5" i="2"/>
  <c r="L18" i="2"/>
  <c r="L147" i="2" s="1"/>
  <c r="G18" i="2"/>
  <c r="M18" i="2" s="1"/>
  <c r="M147" i="2" s="1"/>
  <c r="E6" i="2"/>
  <c r="E20" i="2" s="1"/>
  <c r="E147" i="2" s="1"/>
  <c r="F3" i="2"/>
  <c r="K3" i="2"/>
  <c r="K7" i="2" s="1"/>
  <c r="D114" i="3"/>
  <c r="D53" i="6"/>
  <c r="D54" i="6" s="1"/>
  <c r="D55" i="6" s="1"/>
  <c r="D19" i="6" s="1"/>
  <c r="C54" i="6"/>
  <c r="C55" i="6" s="1"/>
  <c r="C19" i="6" s="1"/>
  <c r="D176" i="2"/>
  <c r="D100" i="3"/>
  <c r="D118" i="3"/>
  <c r="D126" i="3"/>
  <c r="D107" i="3"/>
  <c r="D115" i="3"/>
  <c r="D123" i="3"/>
  <c r="D125" i="3"/>
  <c r="D66" i="2"/>
  <c r="D125" i="2" s="1"/>
  <c r="D94" i="3"/>
  <c r="D91" i="3"/>
  <c r="D99" i="3"/>
  <c r="D98" i="3"/>
  <c r="D104" i="3"/>
  <c r="D112" i="3"/>
  <c r="D120" i="3"/>
  <c r="D128" i="3"/>
  <c r="D105" i="3"/>
  <c r="D113" i="3"/>
  <c r="D121" i="3"/>
  <c r="D110" i="3"/>
  <c r="C147" i="2"/>
  <c r="C23" i="2"/>
  <c r="C65" i="2" s="1"/>
  <c r="C66" i="2" s="1"/>
  <c r="E148" i="2"/>
  <c r="E149" i="2" s="1"/>
  <c r="E176" i="2" s="1"/>
  <c r="F19" i="2"/>
  <c r="F144" i="2" s="1"/>
  <c r="K19" i="2"/>
  <c r="D156" i="2"/>
  <c r="D172" i="2"/>
  <c r="I92" i="2"/>
  <c r="E14" i="5" s="1"/>
  <c r="D102" i="3"/>
  <c r="E15" i="1"/>
  <c r="E71" i="2"/>
  <c r="K71" i="2" s="1"/>
  <c r="D122" i="3"/>
  <c r="D103" i="3"/>
  <c r="D111" i="3"/>
  <c r="D119" i="3"/>
  <c r="D127" i="3"/>
  <c r="K4" i="2"/>
  <c r="F4" i="2"/>
  <c r="D57" i="2"/>
  <c r="D127" i="2"/>
  <c r="E75" i="2"/>
  <c r="E19" i="1"/>
  <c r="K86" i="2"/>
  <c r="F10" i="1"/>
  <c r="F11" i="1" s="1"/>
  <c r="E11" i="1"/>
  <c r="F88" i="2"/>
  <c r="G88" i="2"/>
  <c r="D126" i="2"/>
  <c r="D151" i="2"/>
  <c r="L86" i="2"/>
  <c r="D123" i="2"/>
  <c r="M86" i="2"/>
  <c r="D103" i="2"/>
  <c r="F29" i="1"/>
  <c r="G85" i="2" s="1"/>
  <c r="F85" i="2"/>
  <c r="K88" i="2"/>
  <c r="E132" i="3"/>
  <c r="K70" i="2"/>
  <c r="E20" i="1"/>
  <c r="F76" i="2" s="1"/>
  <c r="L76" i="2" s="1"/>
  <c r="F9" i="1"/>
  <c r="E14" i="1"/>
  <c r="F70" i="2" s="1"/>
  <c r="L70" i="2" s="1"/>
  <c r="A135" i="3"/>
  <c r="C28" i="3"/>
  <c r="D138" i="3" s="1"/>
  <c r="A132" i="3"/>
  <c r="D67" i="2" l="1"/>
  <c r="D174" i="2" s="1"/>
  <c r="D132" i="3"/>
  <c r="J91" i="2"/>
  <c r="J9" i="2" s="1"/>
  <c r="J54" i="2" s="1"/>
  <c r="K8" i="2"/>
  <c r="E54" i="2"/>
  <c r="E95" i="2" s="1"/>
  <c r="E123" i="2" s="1"/>
  <c r="I10" i="2"/>
  <c r="I33" i="2" s="1"/>
  <c r="G20" i="5" s="1"/>
  <c r="G3" i="2"/>
  <c r="M3" i="2" s="1"/>
  <c r="M7" i="2" s="1"/>
  <c r="L3" i="2"/>
  <c r="L7" i="2" s="1"/>
  <c r="E23" i="2"/>
  <c r="E65" i="2" s="1"/>
  <c r="E103" i="2" s="1"/>
  <c r="D157" i="2"/>
  <c r="D167" i="2" s="1"/>
  <c r="D191" i="2" s="1"/>
  <c r="D99" i="2"/>
  <c r="D104" i="2"/>
  <c r="D114" i="2" s="1"/>
  <c r="D152" i="2"/>
  <c r="D177" i="2"/>
  <c r="D58" i="2"/>
  <c r="C98" i="2"/>
  <c r="D124" i="2"/>
  <c r="C99" i="2"/>
  <c r="C67" i="2"/>
  <c r="C100" i="2" s="1"/>
  <c r="L4" i="2"/>
  <c r="G4" i="2"/>
  <c r="F6" i="2"/>
  <c r="F20" i="2" s="1"/>
  <c r="F15" i="1"/>
  <c r="G71" i="2" s="1"/>
  <c r="M71" i="2" s="1"/>
  <c r="F71" i="2"/>
  <c r="L71" i="2" s="1"/>
  <c r="F148" i="2"/>
  <c r="F149" i="2" s="1"/>
  <c r="F179" i="2" s="1"/>
  <c r="G19" i="2"/>
  <c r="G144" i="2" s="1"/>
  <c r="L19" i="2"/>
  <c r="C151" i="2"/>
  <c r="C156" i="2"/>
  <c r="C157" i="2"/>
  <c r="C180" i="2"/>
  <c r="C177" i="2"/>
  <c r="C152" i="2"/>
  <c r="D140" i="3"/>
  <c r="D20" i="3"/>
  <c r="C133" i="3"/>
  <c r="M85" i="2"/>
  <c r="L85" i="2"/>
  <c r="L88" i="2"/>
  <c r="K75" i="2"/>
  <c r="E172" i="2"/>
  <c r="E179" i="2"/>
  <c r="M88" i="2"/>
  <c r="F19" i="1"/>
  <c r="G75" i="2" s="1"/>
  <c r="F75" i="2"/>
  <c r="F20" i="1"/>
  <c r="G76" i="2" s="1"/>
  <c r="M76" i="2" s="1"/>
  <c r="F14" i="1"/>
  <c r="G70" i="2" s="1"/>
  <c r="M70" i="2" s="1"/>
  <c r="D100" i="2"/>
  <c r="D122" i="2"/>
  <c r="D158" i="2"/>
  <c r="D121" i="2"/>
  <c r="D120" i="2"/>
  <c r="D173" i="2"/>
  <c r="D59" i="2"/>
  <c r="D105" i="2"/>
  <c r="D153" i="2"/>
  <c r="E66" i="2"/>
  <c r="D19" i="3"/>
  <c r="K92" i="2" l="1"/>
  <c r="K10" i="2" s="1"/>
  <c r="K33" i="2" s="1"/>
  <c r="G22" i="5" s="1"/>
  <c r="L8" i="2"/>
  <c r="C174" i="2"/>
  <c r="J21" i="2"/>
  <c r="J11" i="2"/>
  <c r="J12" i="2" s="1"/>
  <c r="J13" i="2" s="1"/>
  <c r="J14" i="2" s="1"/>
  <c r="J22" i="2" s="1"/>
  <c r="J144" i="2" s="1"/>
  <c r="D166" i="2"/>
  <c r="D190" i="2" s="1"/>
  <c r="D138" i="2"/>
  <c r="P167" i="2"/>
  <c r="AB167" i="2" s="1"/>
  <c r="I91" i="2"/>
  <c r="I9" i="2" s="1"/>
  <c r="D115" i="2"/>
  <c r="E156" i="2"/>
  <c r="E180" i="2"/>
  <c r="E126" i="2"/>
  <c r="E57" i="2"/>
  <c r="E127" i="2"/>
  <c r="E98" i="2"/>
  <c r="E119" i="2"/>
  <c r="D112" i="2"/>
  <c r="D164" i="2"/>
  <c r="D188" i="2" s="1"/>
  <c r="C173" i="2"/>
  <c r="E151" i="2"/>
  <c r="D168" i="2"/>
  <c r="D192" i="2" s="1"/>
  <c r="D61" i="2"/>
  <c r="D47" i="2" s="1"/>
  <c r="C158" i="2"/>
  <c r="C166" i="2" s="1"/>
  <c r="C190" i="2" s="1"/>
  <c r="G148" i="2"/>
  <c r="G149" i="2" s="1"/>
  <c r="G179" i="2" s="1"/>
  <c r="M19" i="2"/>
  <c r="F23" i="2"/>
  <c r="F65" i="2" s="1"/>
  <c r="F54" i="2"/>
  <c r="F147" i="2"/>
  <c r="C167" i="2"/>
  <c r="C191" i="2" s="1"/>
  <c r="C168" i="2"/>
  <c r="C192" i="2" s="1"/>
  <c r="M4" i="2"/>
  <c r="M8" i="2" s="1"/>
  <c r="G6" i="2"/>
  <c r="G20" i="2" s="1"/>
  <c r="C153" i="2"/>
  <c r="E133" i="3"/>
  <c r="E139" i="3" s="1"/>
  <c r="A133" i="3"/>
  <c r="L75" i="2"/>
  <c r="F172" i="2"/>
  <c r="F176" i="2"/>
  <c r="M75" i="2"/>
  <c r="K91" i="2"/>
  <c r="K9" i="2" s="1"/>
  <c r="K54" i="2" s="1"/>
  <c r="D165" i="2"/>
  <c r="D189" i="2" s="1"/>
  <c r="D113" i="2"/>
  <c r="E124" i="2"/>
  <c r="E58" i="2"/>
  <c r="E177" i="2"/>
  <c r="E67" i="2"/>
  <c r="E174" i="2" s="1"/>
  <c r="E157" i="2"/>
  <c r="E152" i="2"/>
  <c r="E104" i="2"/>
  <c r="E125" i="2"/>
  <c r="E99" i="2"/>
  <c r="D110" i="2"/>
  <c r="D109" i="2"/>
  <c r="D108" i="2"/>
  <c r="D107" i="2"/>
  <c r="D111" i="2"/>
  <c r="D162" i="2"/>
  <c r="D186" i="2" s="1"/>
  <c r="D161" i="2"/>
  <c r="D185" i="2" s="1"/>
  <c r="D160" i="2"/>
  <c r="D184" i="2" s="1"/>
  <c r="D163" i="2"/>
  <c r="D187" i="2" s="1"/>
  <c r="L92" i="2" l="1"/>
  <c r="L10" i="2" s="1"/>
  <c r="L33" i="2" s="1"/>
  <c r="G23" i="5" s="1"/>
  <c r="E168" i="2"/>
  <c r="E192" i="2" s="1"/>
  <c r="D135" i="2"/>
  <c r="P164" i="2"/>
  <c r="AB164" i="2" s="1"/>
  <c r="D134" i="2"/>
  <c r="P163" i="2"/>
  <c r="AB163" i="2" s="1"/>
  <c r="D132" i="2"/>
  <c r="P161" i="2"/>
  <c r="AB161" i="2" s="1"/>
  <c r="D137" i="2"/>
  <c r="P166" i="2"/>
  <c r="AB166" i="2" s="1"/>
  <c r="E13" i="5"/>
  <c r="D131" i="2"/>
  <c r="P160" i="2"/>
  <c r="AB160" i="2" s="1"/>
  <c r="D133" i="2"/>
  <c r="P162" i="2"/>
  <c r="AB162" i="2" s="1"/>
  <c r="D136" i="2"/>
  <c r="P165" i="2"/>
  <c r="AB165" i="2" s="1"/>
  <c r="D139" i="2"/>
  <c r="P168" i="2"/>
  <c r="AB168" i="2" s="1"/>
  <c r="E115" i="2"/>
  <c r="C164" i="2"/>
  <c r="C188" i="2" s="1"/>
  <c r="C165" i="2"/>
  <c r="C189" i="2" s="1"/>
  <c r="C161" i="2"/>
  <c r="F151" i="2"/>
  <c r="G176" i="2"/>
  <c r="G172" i="2"/>
  <c r="M92" i="2"/>
  <c r="M10" i="2" s="1"/>
  <c r="F180" i="2"/>
  <c r="F95" i="2"/>
  <c r="F57" i="2"/>
  <c r="C185" i="2"/>
  <c r="F98" i="2"/>
  <c r="F66" i="2"/>
  <c r="C162" i="2"/>
  <c r="C186" i="2" s="1"/>
  <c r="C160" i="2"/>
  <c r="C184" i="2" s="1"/>
  <c r="C163" i="2"/>
  <c r="C187" i="2" s="1"/>
  <c r="G54" i="2"/>
  <c r="G95" i="2" s="1"/>
  <c r="G147" i="2"/>
  <c r="G23" i="2"/>
  <c r="G65" i="2" s="1"/>
  <c r="F156" i="2"/>
  <c r="D139" i="3"/>
  <c r="E19" i="3" s="1"/>
  <c r="E134" i="3"/>
  <c r="C136" i="3" s="1"/>
  <c r="A134" i="3"/>
  <c r="B136" i="3" s="1"/>
  <c r="D141" i="3"/>
  <c r="E20" i="3"/>
  <c r="K21" i="2"/>
  <c r="K11" i="2"/>
  <c r="J148" i="2"/>
  <c r="J149" i="2" s="1"/>
  <c r="J95" i="2"/>
  <c r="J23" i="2"/>
  <c r="J65" i="2" s="1"/>
  <c r="E114" i="2"/>
  <c r="J15" i="2"/>
  <c r="J35" i="2" s="1"/>
  <c r="H21" i="5" s="1"/>
  <c r="I54" i="2"/>
  <c r="I21" i="2"/>
  <c r="I11" i="2"/>
  <c r="E167" i="2"/>
  <c r="E191" i="2" s="1"/>
  <c r="E153" i="2"/>
  <c r="E100" i="2"/>
  <c r="E105" i="2"/>
  <c r="E111" i="2" s="1"/>
  <c r="E122" i="2"/>
  <c r="E173" i="2"/>
  <c r="E59" i="2"/>
  <c r="E61" i="2" s="1"/>
  <c r="E47" i="2" s="1"/>
  <c r="E120" i="2"/>
  <c r="E158" i="2"/>
  <c r="E166" i="2" s="1"/>
  <c r="E190" i="2" s="1"/>
  <c r="E121" i="2"/>
  <c r="D194" i="2"/>
  <c r="D49" i="2" s="1"/>
  <c r="E140" i="3"/>
  <c r="L91" i="2" l="1"/>
  <c r="L9" i="2" s="1"/>
  <c r="L54" i="2" s="1"/>
  <c r="D141" i="2"/>
  <c r="D142" i="2" s="1"/>
  <c r="E164" i="2"/>
  <c r="E188" i="2" s="1"/>
  <c r="E135" i="2"/>
  <c r="E139" i="2"/>
  <c r="Q168" i="2"/>
  <c r="AC168" i="2" s="1"/>
  <c r="E138" i="2"/>
  <c r="Q167" i="2"/>
  <c r="AC167" i="2" s="1"/>
  <c r="G57" i="2"/>
  <c r="G127" i="2"/>
  <c r="G66" i="2"/>
  <c r="G177" i="2" s="1"/>
  <c r="G103" i="2"/>
  <c r="G180" i="2"/>
  <c r="G156" i="2"/>
  <c r="G98" i="2"/>
  <c r="G119" i="2"/>
  <c r="G123" i="2"/>
  <c r="G126" i="2"/>
  <c r="F99" i="2"/>
  <c r="F177" i="2"/>
  <c r="F152" i="2"/>
  <c r="F58" i="2"/>
  <c r="F67" i="2"/>
  <c r="F174" i="2" s="1"/>
  <c r="F157" i="2"/>
  <c r="F119" i="2"/>
  <c r="F123" i="2"/>
  <c r="F127" i="2"/>
  <c r="F126" i="2"/>
  <c r="F103" i="2"/>
  <c r="F125" i="2"/>
  <c r="F124" i="2"/>
  <c r="F104" i="2"/>
  <c r="G151" i="2"/>
  <c r="C194" i="2"/>
  <c r="C49" i="2" s="1"/>
  <c r="M33" i="2"/>
  <c r="G24" i="5" s="1"/>
  <c r="M91" i="2"/>
  <c r="M9" i="2" s="1"/>
  <c r="D142" i="3"/>
  <c r="D25" i="3" s="1"/>
  <c r="C2" i="3" s="1"/>
  <c r="C5" i="3" s="1"/>
  <c r="E165" i="2"/>
  <c r="E189" i="2" s="1"/>
  <c r="C95" i="2"/>
  <c r="C59" i="2"/>
  <c r="C58" i="2"/>
  <c r="C57" i="2"/>
  <c r="K12" i="2"/>
  <c r="K13" i="2" s="1"/>
  <c r="L11" i="2"/>
  <c r="J119" i="2"/>
  <c r="J127" i="2"/>
  <c r="J123" i="2"/>
  <c r="J126" i="2"/>
  <c r="J103" i="2"/>
  <c r="I12" i="2"/>
  <c r="J172" i="2"/>
  <c r="J176" i="2"/>
  <c r="J179" i="2"/>
  <c r="J180" i="2"/>
  <c r="J156" i="2"/>
  <c r="J98" i="2"/>
  <c r="J151" i="2"/>
  <c r="J57" i="2"/>
  <c r="J66" i="2"/>
  <c r="J104" i="2" s="1"/>
  <c r="E109" i="2"/>
  <c r="E108" i="2"/>
  <c r="E110" i="2"/>
  <c r="E107" i="2"/>
  <c r="E113" i="2"/>
  <c r="G58" i="2"/>
  <c r="E112" i="2"/>
  <c r="E163" i="2"/>
  <c r="E187" i="2" s="1"/>
  <c r="E162" i="2"/>
  <c r="E186" i="2" s="1"/>
  <c r="E161" i="2"/>
  <c r="E185" i="2" s="1"/>
  <c r="E160" i="2"/>
  <c r="E184" i="2" s="1"/>
  <c r="L21" i="2" l="1"/>
  <c r="D48" i="2"/>
  <c r="D50" i="2" s="1"/>
  <c r="D25" i="2" s="1"/>
  <c r="D26" i="2" s="1"/>
  <c r="D51" i="2" s="1"/>
  <c r="D52" i="2" s="1"/>
  <c r="G99" i="2"/>
  <c r="E134" i="2"/>
  <c r="Q163" i="2"/>
  <c r="AC163" i="2" s="1"/>
  <c r="E137" i="2"/>
  <c r="Q166" i="2"/>
  <c r="AC166" i="2" s="1"/>
  <c r="E133" i="2"/>
  <c r="Q162" i="2"/>
  <c r="AC162" i="2" s="1"/>
  <c r="Q164" i="2"/>
  <c r="AC164" i="2" s="1"/>
  <c r="E132" i="2"/>
  <c r="Q161" i="2"/>
  <c r="AC161" i="2" s="1"/>
  <c r="E136" i="2"/>
  <c r="Q165" i="2"/>
  <c r="AC165" i="2" s="1"/>
  <c r="E131" i="2"/>
  <c r="Q160" i="2"/>
  <c r="AC160" i="2" s="1"/>
  <c r="G67" i="2"/>
  <c r="G174" i="2" s="1"/>
  <c r="G152" i="2"/>
  <c r="G124" i="2"/>
  <c r="G125" i="2"/>
  <c r="G104" i="2"/>
  <c r="G114" i="2" s="1"/>
  <c r="F115" i="2"/>
  <c r="G157" i="2"/>
  <c r="G168" i="2" s="1"/>
  <c r="G192" i="2" s="1"/>
  <c r="F114" i="2"/>
  <c r="M54" i="2"/>
  <c r="M21" i="2"/>
  <c r="M11" i="2"/>
  <c r="M12" i="2" s="1"/>
  <c r="M13" i="2" s="1"/>
  <c r="M14" i="2" s="1"/>
  <c r="M22" i="2" s="1"/>
  <c r="M144" i="2" s="1"/>
  <c r="F167" i="2"/>
  <c r="F191" i="2" s="1"/>
  <c r="F168" i="2"/>
  <c r="F192" i="2" s="1"/>
  <c r="F122" i="2"/>
  <c r="F121" i="2"/>
  <c r="F100" i="2"/>
  <c r="F120" i="2"/>
  <c r="F173" i="2"/>
  <c r="F105" i="2"/>
  <c r="F153" i="2"/>
  <c r="F158" i="2"/>
  <c r="F59" i="2"/>
  <c r="F61" i="2" s="1"/>
  <c r="F47" i="2" s="1"/>
  <c r="J125" i="2"/>
  <c r="J124" i="2"/>
  <c r="J115" i="2"/>
  <c r="K14" i="2"/>
  <c r="K22" i="2" s="1"/>
  <c r="K144" i="2" s="1"/>
  <c r="C103" i="2"/>
  <c r="C119" i="2"/>
  <c r="C120" i="2"/>
  <c r="C127" i="2"/>
  <c r="C105" i="2"/>
  <c r="C122" i="2"/>
  <c r="C104" i="2"/>
  <c r="C126" i="2"/>
  <c r="C124" i="2"/>
  <c r="C125" i="2"/>
  <c r="C123" i="2"/>
  <c r="C121" i="2"/>
  <c r="J177" i="2"/>
  <c r="L12" i="2"/>
  <c r="L13" i="2" s="1"/>
  <c r="J99" i="2"/>
  <c r="J58" i="2"/>
  <c r="J67" i="2"/>
  <c r="J152" i="2"/>
  <c r="J157" i="2"/>
  <c r="I13" i="2"/>
  <c r="J114" i="2"/>
  <c r="C61" i="2"/>
  <c r="C47" i="2" s="1"/>
  <c r="E194" i="2"/>
  <c r="E49" i="2" s="1"/>
  <c r="G120" i="2" l="1"/>
  <c r="G59" i="2"/>
  <c r="G61" i="2" s="1"/>
  <c r="G47" i="2" s="1"/>
  <c r="G153" i="2"/>
  <c r="G173" i="2"/>
  <c r="G158" i="2"/>
  <c r="G165" i="2" s="1"/>
  <c r="G189" i="2" s="1"/>
  <c r="G167" i="2"/>
  <c r="G191" i="2" s="1"/>
  <c r="G115" i="2"/>
  <c r="S168" i="2" s="1"/>
  <c r="G105" i="2"/>
  <c r="G110" i="2" s="1"/>
  <c r="G100" i="2"/>
  <c r="E141" i="2"/>
  <c r="E142" i="2" s="1"/>
  <c r="G139" i="2"/>
  <c r="J139" i="2"/>
  <c r="F139" i="2"/>
  <c r="R168" i="2"/>
  <c r="J138" i="2"/>
  <c r="G138" i="2"/>
  <c r="F138" i="2"/>
  <c r="R167" i="2"/>
  <c r="G122" i="2"/>
  <c r="G121" i="2"/>
  <c r="J173" i="2"/>
  <c r="J174" i="2"/>
  <c r="F166" i="2"/>
  <c r="F190" i="2" s="1"/>
  <c r="F165" i="2"/>
  <c r="F189" i="2" s="1"/>
  <c r="F162" i="2"/>
  <c r="F186" i="2" s="1"/>
  <c r="F160" i="2"/>
  <c r="F184" i="2" s="1"/>
  <c r="F161" i="2"/>
  <c r="F185" i="2" s="1"/>
  <c r="F163" i="2"/>
  <c r="F187" i="2" s="1"/>
  <c r="F113" i="2"/>
  <c r="F107" i="2"/>
  <c r="F109" i="2"/>
  <c r="F111" i="2"/>
  <c r="F108" i="2"/>
  <c r="F110" i="2"/>
  <c r="F112" i="2"/>
  <c r="F164" i="2"/>
  <c r="F188" i="2" s="1"/>
  <c r="K148" i="2"/>
  <c r="K149" i="2" s="1"/>
  <c r="K95" i="2"/>
  <c r="K23" i="2"/>
  <c r="K65" i="2" s="1"/>
  <c r="C108" i="2"/>
  <c r="C110" i="2"/>
  <c r="C107" i="2"/>
  <c r="C109" i="2"/>
  <c r="M95" i="2"/>
  <c r="M148" i="2"/>
  <c r="M149" i="2" s="1"/>
  <c r="M23" i="2"/>
  <c r="M65" i="2" s="1"/>
  <c r="I14" i="2"/>
  <c r="I22" i="2" s="1"/>
  <c r="I144" i="2" s="1"/>
  <c r="C111" i="2"/>
  <c r="C112" i="2"/>
  <c r="C113" i="2"/>
  <c r="K15" i="2"/>
  <c r="K35" i="2" s="1"/>
  <c r="H22" i="5" s="1"/>
  <c r="J168" i="2"/>
  <c r="J192" i="2" s="1"/>
  <c r="L14" i="2"/>
  <c r="L22" i="2" s="1"/>
  <c r="L144" i="2" s="1"/>
  <c r="C114" i="2"/>
  <c r="C115" i="2"/>
  <c r="J100" i="2"/>
  <c r="J59" i="2"/>
  <c r="J61" i="2" s="1"/>
  <c r="J47" i="2" s="1"/>
  <c r="J153" i="2"/>
  <c r="J122" i="2"/>
  <c r="J105" i="2"/>
  <c r="J121" i="2"/>
  <c r="J158" i="2"/>
  <c r="J165" i="2" s="1"/>
  <c r="J189" i="2" s="1"/>
  <c r="J120" i="2"/>
  <c r="J167" i="2"/>
  <c r="J191" i="2" s="1"/>
  <c r="M15" i="2"/>
  <c r="M35" i="2" s="1"/>
  <c r="H24" i="5" s="1"/>
  <c r="D27" i="2"/>
  <c r="G112" i="2" l="1"/>
  <c r="G111" i="2"/>
  <c r="G113" i="2"/>
  <c r="G109" i="2"/>
  <c r="G133" i="2" s="1"/>
  <c r="G107" i="2"/>
  <c r="G131" i="2" s="1"/>
  <c r="G108" i="2"/>
  <c r="D21" i="5"/>
  <c r="D31" i="2"/>
  <c r="C21" i="5" s="1"/>
  <c r="G161" i="2"/>
  <c r="G185" i="2" s="1"/>
  <c r="G163" i="2"/>
  <c r="G187" i="2" s="1"/>
  <c r="G164" i="2"/>
  <c r="G188" i="2" s="1"/>
  <c r="G160" i="2"/>
  <c r="G184" i="2" s="1"/>
  <c r="G166" i="2"/>
  <c r="G190" i="2" s="1"/>
  <c r="G162" i="2"/>
  <c r="G186" i="2" s="1"/>
  <c r="S167" i="2"/>
  <c r="E48" i="2"/>
  <c r="E50" i="2" s="1"/>
  <c r="E25" i="2" s="1"/>
  <c r="E26" i="2" s="1"/>
  <c r="E51" i="2" s="1"/>
  <c r="E52" i="2" s="1"/>
  <c r="V167" i="2"/>
  <c r="V168" i="2"/>
  <c r="G134" i="2"/>
  <c r="C139" i="2"/>
  <c r="O168" i="2"/>
  <c r="AA168" i="2" s="1"/>
  <c r="F136" i="2"/>
  <c r="R165" i="2"/>
  <c r="C138" i="2"/>
  <c r="O167" i="2"/>
  <c r="AA167" i="2" s="1"/>
  <c r="C137" i="2"/>
  <c r="O166" i="2"/>
  <c r="AA166" i="2" s="1"/>
  <c r="C131" i="2"/>
  <c r="O160" i="2"/>
  <c r="AA160" i="2" s="1"/>
  <c r="F134" i="2"/>
  <c r="R163" i="2"/>
  <c r="F131" i="2"/>
  <c r="R160" i="2"/>
  <c r="G136" i="2"/>
  <c r="S165" i="2"/>
  <c r="C133" i="2"/>
  <c r="O162" i="2"/>
  <c r="AA162" i="2" s="1"/>
  <c r="F133" i="2"/>
  <c r="R162" i="2"/>
  <c r="C136" i="2"/>
  <c r="O165" i="2"/>
  <c r="AA165" i="2" s="1"/>
  <c r="C134" i="2"/>
  <c r="O163" i="2"/>
  <c r="AA163" i="2" s="1"/>
  <c r="F132" i="2"/>
  <c r="R161" i="2"/>
  <c r="F137" i="2"/>
  <c r="R166" i="2"/>
  <c r="G135" i="2"/>
  <c r="G137" i="2"/>
  <c r="G132" i="2"/>
  <c r="S161" i="2"/>
  <c r="C135" i="2"/>
  <c r="O164" i="2"/>
  <c r="AA164" i="2" s="1"/>
  <c r="C132" i="2"/>
  <c r="O161" i="2"/>
  <c r="AA161" i="2" s="1"/>
  <c r="F135" i="2"/>
  <c r="R164" i="2"/>
  <c r="K156" i="2"/>
  <c r="F194" i="2"/>
  <c r="F49" i="2" s="1"/>
  <c r="I15" i="2"/>
  <c r="I35" i="2" s="1"/>
  <c r="H20" i="5" s="1"/>
  <c r="L15" i="2"/>
  <c r="L35" i="2" s="1"/>
  <c r="H23" i="5" s="1"/>
  <c r="J166" i="2"/>
  <c r="J190" i="2" s="1"/>
  <c r="M119" i="2"/>
  <c r="M123" i="2"/>
  <c r="M127" i="2"/>
  <c r="M103" i="2"/>
  <c r="M126" i="2"/>
  <c r="K172" i="2"/>
  <c r="K179" i="2"/>
  <c r="K176" i="2"/>
  <c r="K180" i="2"/>
  <c r="M98" i="2"/>
  <c r="M66" i="2"/>
  <c r="M125" i="2" s="1"/>
  <c r="M151" i="2"/>
  <c r="M57" i="2"/>
  <c r="K151" i="2"/>
  <c r="K57" i="2"/>
  <c r="K98" i="2"/>
  <c r="K66" i="2"/>
  <c r="K125" i="2" s="1"/>
  <c r="J108" i="2"/>
  <c r="J109" i="2"/>
  <c r="J110" i="2"/>
  <c r="J107" i="2"/>
  <c r="J111" i="2"/>
  <c r="J112" i="2"/>
  <c r="J113" i="2"/>
  <c r="M172" i="2"/>
  <c r="M176" i="2"/>
  <c r="M180" i="2"/>
  <c r="M156" i="2"/>
  <c r="M179" i="2"/>
  <c r="K119" i="2"/>
  <c r="K126" i="2"/>
  <c r="K123" i="2"/>
  <c r="K127" i="2"/>
  <c r="K103" i="2"/>
  <c r="J164" i="2"/>
  <c r="J188" i="2" s="1"/>
  <c r="J160" i="2"/>
  <c r="J184" i="2" s="1"/>
  <c r="J162" i="2"/>
  <c r="J186" i="2" s="1"/>
  <c r="J161" i="2"/>
  <c r="J185" i="2" s="1"/>
  <c r="J163" i="2"/>
  <c r="J187" i="2" s="1"/>
  <c r="L95" i="2"/>
  <c r="L148" i="2"/>
  <c r="L149" i="2" s="1"/>
  <c r="L23" i="2"/>
  <c r="L65" i="2" s="1"/>
  <c r="I148" i="2"/>
  <c r="I149" i="2" s="1"/>
  <c r="I23" i="2"/>
  <c r="I65" i="2" s="1"/>
  <c r="I98" i="2" s="1"/>
  <c r="I95" i="2"/>
  <c r="D40" i="2"/>
  <c r="S166" i="2" l="1"/>
  <c r="S160" i="2"/>
  <c r="G194" i="2"/>
  <c r="G49" i="2" s="1"/>
  <c r="S163" i="2"/>
  <c r="S162" i="2"/>
  <c r="S164" i="2"/>
  <c r="E27" i="2"/>
  <c r="G141" i="2"/>
  <c r="M157" i="2"/>
  <c r="M168" i="2" s="1"/>
  <c r="M192" i="2" s="1"/>
  <c r="F141" i="2"/>
  <c r="F142" i="2" s="1"/>
  <c r="C141" i="2"/>
  <c r="C142" i="2" s="1"/>
  <c r="J137" i="2"/>
  <c r="V166" i="2"/>
  <c r="J133" i="2"/>
  <c r="V162" i="2"/>
  <c r="J134" i="2"/>
  <c r="V163" i="2"/>
  <c r="J136" i="2"/>
  <c r="V165" i="2"/>
  <c r="J135" i="2"/>
  <c r="V164" i="2"/>
  <c r="J132" i="2"/>
  <c r="V161" i="2"/>
  <c r="J131" i="2"/>
  <c r="V160" i="2"/>
  <c r="M177" i="2"/>
  <c r="M124" i="2"/>
  <c r="L119" i="2"/>
  <c r="L123" i="2"/>
  <c r="L103" i="2"/>
  <c r="L127" i="2"/>
  <c r="L126" i="2"/>
  <c r="K152" i="2"/>
  <c r="K67" i="2"/>
  <c r="K174" i="2" s="1"/>
  <c r="K58" i="2"/>
  <c r="K99" i="2"/>
  <c r="K124" i="2"/>
  <c r="L98" i="2"/>
  <c r="L151" i="2"/>
  <c r="L57" i="2"/>
  <c r="L66" i="2"/>
  <c r="L104" i="2" s="1"/>
  <c r="I103" i="2"/>
  <c r="I127" i="2"/>
  <c r="I126" i="2"/>
  <c r="I123" i="2"/>
  <c r="I119" i="2"/>
  <c r="L172" i="2"/>
  <c r="L176" i="2"/>
  <c r="L180" i="2"/>
  <c r="L156" i="2"/>
  <c r="L179" i="2"/>
  <c r="K104" i="2"/>
  <c r="K114" i="2" s="1"/>
  <c r="K177" i="2"/>
  <c r="I66" i="2"/>
  <c r="I104" i="2" s="1"/>
  <c r="I151" i="2"/>
  <c r="I57" i="2"/>
  <c r="J194" i="2"/>
  <c r="J49" i="2" s="1"/>
  <c r="K157" i="2"/>
  <c r="I180" i="2"/>
  <c r="I156" i="2"/>
  <c r="I179" i="2"/>
  <c r="I172" i="2"/>
  <c r="I176" i="2"/>
  <c r="M67" i="2"/>
  <c r="M174" i="2" s="1"/>
  <c r="M152" i="2"/>
  <c r="M58" i="2"/>
  <c r="M99" i="2"/>
  <c r="M104" i="2"/>
  <c r="M114" i="2" s="1"/>
  <c r="E40" i="2"/>
  <c r="D22" i="5" l="1"/>
  <c r="E31" i="2"/>
  <c r="C22" i="5" s="1"/>
  <c r="M167" i="2"/>
  <c r="M191" i="2" s="1"/>
  <c r="G142" i="2"/>
  <c r="C48" i="2"/>
  <c r="C50" i="2" s="1"/>
  <c r="C25" i="2" s="1"/>
  <c r="C26" i="2" s="1"/>
  <c r="C51" i="2" s="1"/>
  <c r="C52" i="2" s="1"/>
  <c r="G48" i="2"/>
  <c r="G50" i="2" s="1"/>
  <c r="G25" i="2" s="1"/>
  <c r="F48" i="2"/>
  <c r="F50" i="2" s="1"/>
  <c r="F25" i="2" s="1"/>
  <c r="F26" i="2" s="1"/>
  <c r="F51" i="2" s="1"/>
  <c r="F52" i="2" s="1"/>
  <c r="J141" i="2"/>
  <c r="J48" i="2" s="1"/>
  <c r="J50" i="2" s="1"/>
  <c r="J25" i="2" s="1"/>
  <c r="K138" i="2"/>
  <c r="M138" i="2"/>
  <c r="Y167" i="2"/>
  <c r="I157" i="2"/>
  <c r="I177" i="2"/>
  <c r="I124" i="2"/>
  <c r="K100" i="2"/>
  <c r="K153" i="2"/>
  <c r="K59" i="2"/>
  <c r="K61" i="2" s="1"/>
  <c r="K47" i="2" s="1"/>
  <c r="K173" i="2"/>
  <c r="K120" i="2"/>
  <c r="K158" i="2"/>
  <c r="K105" i="2"/>
  <c r="K112" i="2" s="1"/>
  <c r="K122" i="2"/>
  <c r="K121" i="2"/>
  <c r="K167" i="2"/>
  <c r="K191" i="2" s="1"/>
  <c r="K168" i="2"/>
  <c r="K192" i="2" s="1"/>
  <c r="M115" i="2"/>
  <c r="M59" i="2"/>
  <c r="M61" i="2" s="1"/>
  <c r="M47" i="2" s="1"/>
  <c r="M153" i="2"/>
  <c r="M100" i="2"/>
  <c r="M105" i="2"/>
  <c r="M111" i="2" s="1"/>
  <c r="M122" i="2"/>
  <c r="M173" i="2"/>
  <c r="M120" i="2"/>
  <c r="M158" i="2"/>
  <c r="M121" i="2"/>
  <c r="I67" i="2"/>
  <c r="I99" i="2"/>
  <c r="I152" i="2"/>
  <c r="I58" i="2"/>
  <c r="K115" i="2"/>
  <c r="L157" i="2"/>
  <c r="L167" i="2" s="1"/>
  <c r="L191" i="2" s="1"/>
  <c r="I125" i="2"/>
  <c r="L115" i="2"/>
  <c r="L114" i="2"/>
  <c r="L67" i="2"/>
  <c r="L174" i="2" s="1"/>
  <c r="L58" i="2"/>
  <c r="L152" i="2"/>
  <c r="L99" i="2"/>
  <c r="L124" i="2"/>
  <c r="L177" i="2"/>
  <c r="I114" i="2"/>
  <c r="I115" i="2"/>
  <c r="L125" i="2"/>
  <c r="G26" i="2"/>
  <c r="G51" i="2" s="1"/>
  <c r="G52" i="2" s="1"/>
  <c r="C27" i="2" l="1"/>
  <c r="J142" i="2"/>
  <c r="I168" i="2"/>
  <c r="U168" i="2" s="1"/>
  <c r="J26" i="2"/>
  <c r="J51" i="2" s="1"/>
  <c r="J52" i="2" s="1"/>
  <c r="J40" i="2"/>
  <c r="J21" i="5" s="1"/>
  <c r="K136" i="2"/>
  <c r="L138" i="2"/>
  <c r="X167" i="2"/>
  <c r="K139" i="2"/>
  <c r="W168" i="2"/>
  <c r="I139" i="2"/>
  <c r="I138" i="2"/>
  <c r="L139" i="2"/>
  <c r="W167" i="2"/>
  <c r="M135" i="2"/>
  <c r="M139" i="2"/>
  <c r="Y168" i="2"/>
  <c r="I167" i="2"/>
  <c r="I191" i="2" s="1"/>
  <c r="I174" i="2"/>
  <c r="I173" i="2"/>
  <c r="F27" i="2"/>
  <c r="M112" i="2"/>
  <c r="K166" i="2"/>
  <c r="K190" i="2" s="1"/>
  <c r="K163" i="2"/>
  <c r="K187" i="2" s="1"/>
  <c r="K160" i="2"/>
  <c r="K184" i="2" s="1"/>
  <c r="K161" i="2"/>
  <c r="K185" i="2" s="1"/>
  <c r="K162" i="2"/>
  <c r="K186" i="2" s="1"/>
  <c r="L59" i="2"/>
  <c r="L61" i="2" s="1"/>
  <c r="L47" i="2" s="1"/>
  <c r="L100" i="2"/>
  <c r="L153" i="2"/>
  <c r="L120" i="2"/>
  <c r="L105" i="2"/>
  <c r="L158" i="2"/>
  <c r="L166" i="2" s="1"/>
  <c r="L190" i="2" s="1"/>
  <c r="L122" i="2"/>
  <c r="L121" i="2"/>
  <c r="L173" i="2"/>
  <c r="L168" i="2"/>
  <c r="L192" i="2" s="1"/>
  <c r="M165" i="2"/>
  <c r="M189" i="2" s="1"/>
  <c r="M160" i="2"/>
  <c r="M184" i="2" s="1"/>
  <c r="M163" i="2"/>
  <c r="M187" i="2" s="1"/>
  <c r="M161" i="2"/>
  <c r="M185" i="2" s="1"/>
  <c r="M162" i="2"/>
  <c r="M186" i="2" s="1"/>
  <c r="M166" i="2"/>
  <c r="M190" i="2" s="1"/>
  <c r="M164" i="2"/>
  <c r="M188" i="2" s="1"/>
  <c r="M110" i="2"/>
  <c r="M109" i="2"/>
  <c r="M108" i="2"/>
  <c r="M107" i="2"/>
  <c r="M113" i="2"/>
  <c r="K164" i="2"/>
  <c r="K188" i="2" s="1"/>
  <c r="K111" i="2"/>
  <c r="K109" i="2"/>
  <c r="K110" i="2"/>
  <c r="K108" i="2"/>
  <c r="K107" i="2"/>
  <c r="K113" i="2"/>
  <c r="I153" i="2"/>
  <c r="I100" i="2"/>
  <c r="I59" i="2"/>
  <c r="I61" i="2" s="1"/>
  <c r="I47" i="2" s="1"/>
  <c r="I122" i="2"/>
  <c r="I121" i="2"/>
  <c r="I105" i="2"/>
  <c r="I120" i="2"/>
  <c r="I158" i="2"/>
  <c r="I164" i="2" s="1"/>
  <c r="K165" i="2"/>
  <c r="K189" i="2" s="1"/>
  <c r="G27" i="2"/>
  <c r="D24" i="5" l="1"/>
  <c r="G31" i="2"/>
  <c r="D23" i="5"/>
  <c r="F31" i="2"/>
  <c r="C23" i="5" s="1"/>
  <c r="C40" i="2"/>
  <c r="D20" i="5"/>
  <c r="C31" i="2"/>
  <c r="C20" i="5" s="1"/>
  <c r="I192" i="2"/>
  <c r="W165" i="2"/>
  <c r="J27" i="2"/>
  <c r="K133" i="2"/>
  <c r="W162" i="2"/>
  <c r="K131" i="2"/>
  <c r="W160" i="2"/>
  <c r="K135" i="2"/>
  <c r="W164" i="2"/>
  <c r="M132" i="2"/>
  <c r="Y161" i="2"/>
  <c r="K137" i="2"/>
  <c r="W166" i="2"/>
  <c r="M131" i="2"/>
  <c r="Y160" i="2"/>
  <c r="K132" i="2"/>
  <c r="W161" i="2"/>
  <c r="M133" i="2"/>
  <c r="Y162" i="2"/>
  <c r="M136" i="2"/>
  <c r="Y165" i="2"/>
  <c r="X168" i="2"/>
  <c r="U167" i="2"/>
  <c r="K134" i="2"/>
  <c r="W163" i="2"/>
  <c r="M137" i="2"/>
  <c r="Y166" i="2"/>
  <c r="M134" i="2"/>
  <c r="Y163" i="2"/>
  <c r="Y164" i="2"/>
  <c r="F40" i="2"/>
  <c r="L165" i="2"/>
  <c r="L189" i="2" s="1"/>
  <c r="L164" i="2"/>
  <c r="L188" i="2" s="1"/>
  <c r="I107" i="2"/>
  <c r="I108" i="2"/>
  <c r="I132" i="2" s="1"/>
  <c r="I109" i="2"/>
  <c r="I110" i="2"/>
  <c r="I134" i="2" s="1"/>
  <c r="I112" i="2"/>
  <c r="I113" i="2"/>
  <c r="I111" i="2"/>
  <c r="L113" i="2"/>
  <c r="L107" i="2"/>
  <c r="L108" i="2"/>
  <c r="L110" i="2"/>
  <c r="L109" i="2"/>
  <c r="L111" i="2"/>
  <c r="L112" i="2"/>
  <c r="I162" i="2"/>
  <c r="I186" i="2" s="1"/>
  <c r="I163" i="2"/>
  <c r="I187" i="2" s="1"/>
  <c r="I161" i="2"/>
  <c r="I185" i="2" s="1"/>
  <c r="I160" i="2"/>
  <c r="I184" i="2" s="1"/>
  <c r="I165" i="2"/>
  <c r="I189" i="2" s="1"/>
  <c r="I166" i="2"/>
  <c r="I190" i="2" s="1"/>
  <c r="I188" i="2"/>
  <c r="L163" i="2"/>
  <c r="L187" i="2" s="1"/>
  <c r="L160" i="2"/>
  <c r="L184" i="2" s="1"/>
  <c r="L161" i="2"/>
  <c r="L185" i="2" s="1"/>
  <c r="L162" i="2"/>
  <c r="L186" i="2" s="1"/>
  <c r="K194" i="2"/>
  <c r="K49" i="2" s="1"/>
  <c r="M194" i="2"/>
  <c r="M49" i="2" s="1"/>
  <c r="C24" i="5"/>
  <c r="G40" i="2"/>
  <c r="J31" i="2" l="1"/>
  <c r="J37" i="2" s="1"/>
  <c r="M141" i="2"/>
  <c r="M48" i="2" s="1"/>
  <c r="M50" i="2" s="1"/>
  <c r="M25" i="2" s="1"/>
  <c r="M26" i="2" s="1"/>
  <c r="K141" i="2"/>
  <c r="K142" i="2" s="1"/>
  <c r="U163" i="2"/>
  <c r="L136" i="2"/>
  <c r="X165" i="2"/>
  <c r="L132" i="2"/>
  <c r="X161" i="2"/>
  <c r="I135" i="2"/>
  <c r="U164" i="2"/>
  <c r="I133" i="2"/>
  <c r="U162" i="2"/>
  <c r="L134" i="2"/>
  <c r="X163" i="2"/>
  <c r="L135" i="2"/>
  <c r="X164" i="2"/>
  <c r="L131" i="2"/>
  <c r="X160" i="2"/>
  <c r="I137" i="2"/>
  <c r="U166" i="2"/>
  <c r="U161" i="2"/>
  <c r="L133" i="2"/>
  <c r="X162" i="2"/>
  <c r="L137" i="2"/>
  <c r="X166" i="2"/>
  <c r="I136" i="2"/>
  <c r="U165" i="2"/>
  <c r="I131" i="2"/>
  <c r="U160" i="2"/>
  <c r="I194" i="2"/>
  <c r="I49" i="2" s="1"/>
  <c r="L194" i="2"/>
  <c r="L49" i="2" s="1"/>
  <c r="F21" i="5" l="1"/>
  <c r="I21" i="5" s="1"/>
  <c r="M142" i="2"/>
  <c r="K48" i="2"/>
  <c r="K50" i="2" s="1"/>
  <c r="K25" i="2" s="1"/>
  <c r="K40" i="2" s="1"/>
  <c r="J22" i="5" s="1"/>
  <c r="I141" i="2"/>
  <c r="I142" i="2" s="1"/>
  <c r="L141" i="2"/>
  <c r="L142" i="2" s="1"/>
  <c r="M40" i="2"/>
  <c r="J24" i="5" s="1"/>
  <c r="M51" i="2"/>
  <c r="M52" i="2" s="1"/>
  <c r="M27" i="2"/>
  <c r="M31" i="2" l="1"/>
  <c r="M37" i="2" s="1"/>
  <c r="K26" i="2"/>
  <c r="K51" i="2" s="1"/>
  <c r="K52" i="2" s="1"/>
  <c r="L48" i="2"/>
  <c r="L50" i="2" s="1"/>
  <c r="L25" i="2" s="1"/>
  <c r="L26" i="2" s="1"/>
  <c r="L51" i="2" s="1"/>
  <c r="L52" i="2" s="1"/>
  <c r="I48" i="2"/>
  <c r="I50" i="2" s="1"/>
  <c r="I25" i="2" s="1"/>
  <c r="I40" i="2" s="1"/>
  <c r="J20" i="5" s="1"/>
  <c r="F24" i="5" l="1"/>
  <c r="I24" i="5" s="1"/>
  <c r="L40" i="2"/>
  <c r="J23" i="5" s="1"/>
  <c r="K27" i="2"/>
  <c r="I26" i="2"/>
  <c r="I51" i="2" s="1"/>
  <c r="I52" i="2" s="1"/>
  <c r="L27" i="2"/>
  <c r="K31" i="2" l="1"/>
  <c r="F22" i="5" s="1"/>
  <c r="I22" i="5" s="1"/>
  <c r="L31" i="2"/>
  <c r="L37" i="2" s="1"/>
  <c r="I27" i="2"/>
  <c r="F23" i="5" l="1"/>
  <c r="I23" i="5" s="1"/>
  <c r="I31" i="2"/>
  <c r="I37" i="2" s="1"/>
  <c r="K37" i="2"/>
  <c r="F20" i="5" l="1"/>
  <c r="I20" i="5" s="1"/>
</calcChain>
</file>

<file path=xl/sharedStrings.xml><?xml version="1.0" encoding="utf-8"?>
<sst xmlns="http://schemas.openxmlformats.org/spreadsheetml/2006/main" count="281" uniqueCount="221">
  <si>
    <t>Tax Bands</t>
  </si>
  <si>
    <t>2017/18</t>
  </si>
  <si>
    <t>2018/19</t>
  </si>
  <si>
    <t>2019/20</t>
  </si>
  <si>
    <t>2020/21</t>
  </si>
  <si>
    <t>Corporation Tax</t>
  </si>
  <si>
    <t>Tax free dividend limit</t>
  </si>
  <si>
    <t>Assumptions - Taxation Rules</t>
  </si>
  <si>
    <t>Dividend Tax Rates on Tax Bands</t>
  </si>
  <si>
    <t>Your income</t>
  </si>
  <si>
    <t>Other Investment Income</t>
  </si>
  <si>
    <t>BTL Rentals</t>
  </si>
  <si>
    <t>Allowable expense deductions</t>
  </si>
  <si>
    <t>Finance cost</t>
  </si>
  <si>
    <t>Additional cost of borrowing in Ltd Company</t>
  </si>
  <si>
    <t>plus</t>
  </si>
  <si>
    <t>Tapering of Interest Rate Restriction</t>
  </si>
  <si>
    <t>2016/17</t>
  </si>
  <si>
    <t>BTL investment via SPV</t>
  </si>
  <si>
    <t>Additional Accounting costs</t>
  </si>
  <si>
    <t>Taxation</t>
  </si>
  <si>
    <t>Profit after tax</t>
  </si>
  <si>
    <t>Profit retained in SPV</t>
  </si>
  <si>
    <t>Profit if BTL owned directly</t>
  </si>
  <si>
    <t>Taxable income from BTL</t>
  </si>
  <si>
    <t>Dividend income from SPV</t>
  </si>
  <si>
    <t>Taxable income before BTL interest relief</t>
  </si>
  <si>
    <t>Tax on this</t>
  </si>
  <si>
    <t>Less BTL interest relief</t>
  </si>
  <si>
    <t>Total personal tax</t>
  </si>
  <si>
    <t>Withdrawal of Personal allowances - start</t>
  </si>
  <si>
    <t>Withdrawal of Personal allowances - end</t>
  </si>
  <si>
    <t xml:space="preserve">BTL  </t>
  </si>
  <si>
    <t>BTL &amp; Other Income</t>
  </si>
  <si>
    <t>Net income</t>
  </si>
  <si>
    <t>Total indicator</t>
  </si>
  <si>
    <t>Salary + profit indicator</t>
  </si>
  <si>
    <t>Tax</t>
  </si>
  <si>
    <t>Total tax</t>
  </si>
  <si>
    <t>Direct Individual investment</t>
  </si>
  <si>
    <t>Annual increase in bands</t>
  </si>
  <si>
    <t>Annual increase in lower bands applied</t>
  </si>
  <si>
    <t>Total Tax Paid</t>
  </si>
  <si>
    <t>Tax rates already announced by Chancellor</t>
  </si>
  <si>
    <t>Workings</t>
  </si>
  <si>
    <t>n</t>
  </si>
  <si>
    <t>Rate of withdrawal</t>
  </si>
  <si>
    <t>% of turnover</t>
  </si>
  <si>
    <t>SDLT rates - to top limit</t>
  </si>
  <si>
    <t>over</t>
  </si>
  <si>
    <t>Costs of Incorporation</t>
  </si>
  <si>
    <t>Property reference</t>
  </si>
  <si>
    <t>Property Value</t>
  </si>
  <si>
    <t>SDLT</t>
  </si>
  <si>
    <t>Legal</t>
  </si>
  <si>
    <t xml:space="preserve">minimum </t>
  </si>
  <si>
    <t>Miscellaneous</t>
  </si>
  <si>
    <t>Total</t>
  </si>
  <si>
    <t>No Capital Gains Tax provision made - dependant on vendor's circumstances.</t>
  </si>
  <si>
    <t>Legal and Miscellaneous costs dependant upon circumstances</t>
  </si>
  <si>
    <t>No provision made for finance raising costs in SPV</t>
  </si>
  <si>
    <t xml:space="preserve">Profit Retained within Limited Company </t>
  </si>
  <si>
    <t>Limited company incorporation cost</t>
  </si>
  <si>
    <t>Legal Fees for sale to limited company / property</t>
  </si>
  <si>
    <r>
      <t xml:space="preserve">Dividend paid by Ltd Co SPV </t>
    </r>
    <r>
      <rPr>
        <sz val="8"/>
        <color theme="1"/>
        <rFont val="Lucida Sans"/>
        <family val="2"/>
      </rPr>
      <t>- proportion of profit</t>
    </r>
  </si>
  <si>
    <t>Additional Accountancy costs for Ltd Company (estimate)</t>
  </si>
  <si>
    <t>Apply increase to bands Y/ N</t>
  </si>
  <si>
    <t>Notes for Users</t>
  </si>
  <si>
    <t>This page sets out the key legislative parameters.</t>
  </si>
  <si>
    <t>These cells may be changed by the user - but do so with caution!</t>
  </si>
  <si>
    <t>Cells shown in orange should be adjusted by the user based on their own assessment.</t>
  </si>
  <si>
    <t>Other cells may also be adjusted if the user wishes to perform "what if" analysis.</t>
  </si>
  <si>
    <t>in transferring properties into a limited company</t>
  </si>
  <si>
    <t>No estimate is given as to any Capital Gains Tax involved.</t>
  </si>
  <si>
    <t>Multiple properties may be input (up to 39) - it is only necessary to provide</t>
  </si>
  <si>
    <t>the value of each of the properties to be transferred.</t>
  </si>
  <si>
    <t>An assumption of the legal costs involved is set out in the "Legislation" page</t>
  </si>
  <si>
    <r>
      <rPr>
        <b/>
        <u/>
        <sz val="12"/>
        <color theme="10"/>
        <rFont val="Lucida Sans"/>
        <family val="2"/>
      </rPr>
      <t>Legislation</t>
    </r>
    <r>
      <rPr>
        <u/>
        <sz val="10"/>
        <color theme="10"/>
        <rFont val="Lucida Sans"/>
        <family val="2"/>
      </rPr>
      <t xml:space="preserve"> page</t>
    </r>
  </si>
  <si>
    <r>
      <rPr>
        <b/>
        <u/>
        <sz val="12"/>
        <color theme="10"/>
        <rFont val="Lucida Sans"/>
        <family val="2"/>
      </rPr>
      <t>Incorporation costs</t>
    </r>
    <r>
      <rPr>
        <u/>
        <sz val="10"/>
        <color theme="10"/>
        <rFont val="Lucida Sans"/>
        <family val="2"/>
      </rPr>
      <t xml:space="preserve"> page</t>
    </r>
  </si>
  <si>
    <r>
      <rPr>
        <b/>
        <u/>
        <sz val="12"/>
        <color theme="10"/>
        <rFont val="Lucida Sans"/>
        <family val="2"/>
      </rPr>
      <t>Income and Tax</t>
    </r>
    <r>
      <rPr>
        <u/>
        <sz val="10"/>
        <color theme="10"/>
        <rFont val="Lucida Sans"/>
        <family val="2"/>
      </rPr>
      <t xml:space="preserve"> page</t>
    </r>
  </si>
  <si>
    <t>Minimum rate for MDR relief</t>
  </si>
  <si>
    <t>This page provides an estimate of the SDLT, legal and other costs involved</t>
  </si>
  <si>
    <t>Total Net income + Profit Retained</t>
  </si>
  <si>
    <t>-ve</t>
  </si>
  <si>
    <t>However these cells may be overwritten if the user wishes to examine differing scenarios.</t>
  </si>
  <si>
    <t>Cells in grey are set to maintain the same value throughout the five year period.</t>
  </si>
  <si>
    <t>Cells shown in orange should be adjusted by the user based on their own circumstances.</t>
  </si>
  <si>
    <t>PROFESSIONAL TAX ADVICE.  THE RESULTS OBTAINED BY USING THIS CALCULATOR ARE NOT</t>
  </si>
  <si>
    <t>GUARANTEED BY MORTGAGES FOR BUSINESS LIMITED.</t>
  </si>
  <si>
    <t xml:space="preserve">PLEASE NOTE - USE OF THIS CALCULATOR IS NO SUBSTITUTE FOR OBTAINING INDEPENDENT AND </t>
  </si>
  <si>
    <t>Cells shown in green contain data already announced by the Chancellor in July 2015.</t>
  </si>
  <si>
    <t>Summary</t>
  </si>
  <si>
    <t>BTL Profit</t>
  </si>
  <si>
    <r>
      <rPr>
        <b/>
        <u/>
        <sz val="12"/>
        <color theme="10"/>
        <rFont val="Lucida Sans"/>
        <family val="2"/>
      </rPr>
      <t>Summary</t>
    </r>
    <r>
      <rPr>
        <u/>
        <sz val="10"/>
        <color theme="10"/>
        <rFont val="Lucida Sans"/>
        <family val="2"/>
      </rPr>
      <t xml:space="preserve"> page</t>
    </r>
  </si>
  <si>
    <t>This page provides the opportunity to provide a limited amount of information concerning the</t>
  </si>
  <si>
    <t xml:space="preserve">2016 to 2021.  </t>
  </si>
  <si>
    <t>user's personal circumstances and then to see the likely changes in taxation over the period</t>
  </si>
  <si>
    <t>The model will also show the effect of running the portfolio within a limited company.</t>
  </si>
  <si>
    <t xml:space="preserve">More sophisticated analysis is available to the user by changing assumptions on the Legislation </t>
  </si>
  <si>
    <t>page and the Income and Tax page.</t>
  </si>
  <si>
    <t>2016/17 Income and Costs</t>
  </si>
  <si>
    <t>Profit retained within Limited Company</t>
  </si>
  <si>
    <t>Total Net Income + Profit Retained</t>
  </si>
  <si>
    <t>Net (after tax) Income</t>
  </si>
  <si>
    <t>Tax Paid</t>
  </si>
  <si>
    <t>Mortgages for Business Limited</t>
  </si>
  <si>
    <t>This calculator is for Buy to Let Investors to help them to assess the changes to interest cost relief and is no substitute for taking proper tax advice.  No warranty is given by Mortgages for Business Limited as to its accuracy or suitability for individual investors.</t>
  </si>
  <si>
    <t>Basic information on BTL and other income in 2016/17 is all input on the Summary page.</t>
  </si>
  <si>
    <t>Information relating to BTL and other income in 2016/17 should be input via the Summary page</t>
  </si>
  <si>
    <t>Of particular relevance is the field "Dividend paid by Ltd Co SPV" at B11 where changes in</t>
  </si>
  <si>
    <t xml:space="preserve">assumptions may have a marked effect on outcomes. This figure needs to be varied on the </t>
  </si>
  <si>
    <t>"Summary" page.</t>
  </si>
  <si>
    <t>Total Tax</t>
  </si>
  <si>
    <t>Dividend tax allowance reduction</t>
  </si>
  <si>
    <t>Interest allowance</t>
  </si>
  <si>
    <t>Tax Bands - after adj for withdrawal of allowances</t>
  </si>
  <si>
    <t>Other Investment Income (dividends)</t>
  </si>
  <si>
    <t>Taxable income excl dividends</t>
  </si>
  <si>
    <t>Dividends</t>
  </si>
  <si>
    <t>Allowance</t>
  </si>
  <si>
    <t>Before BTL interest allowance and Dividend Allowance</t>
  </si>
  <si>
    <t>Tax payable - non dividend income</t>
  </si>
  <si>
    <t>On salary and profit</t>
  </si>
  <si>
    <t>Tax on dividends</t>
  </si>
  <si>
    <t>Dividend tax allowance adjustment</t>
  </si>
  <si>
    <t>National Insurance</t>
  </si>
  <si>
    <t>ER Rate</t>
  </si>
  <si>
    <t>y</t>
  </si>
  <si>
    <t>on XS</t>
  </si>
  <si>
    <t>over the lower rate band</t>
  </si>
  <si>
    <t xml:space="preserve">Profit of SPV available to owners </t>
  </si>
  <si>
    <t>Profit before tax</t>
  </si>
  <si>
    <t>Salary to be drawn by primary investor from SPV (Yes / No)</t>
  </si>
  <si>
    <t>Salary to be drawn by secondary investor from SPV (Yes / No)</t>
  </si>
  <si>
    <t>Salaries taken by primary owner</t>
  </si>
  <si>
    <t>Salaries taken by secondary owner</t>
  </si>
  <si>
    <t>NI</t>
  </si>
  <si>
    <t xml:space="preserve">Salary </t>
  </si>
  <si>
    <t>Primary investor salary in SPV</t>
  </si>
  <si>
    <t>Secondary investor salary in SPV</t>
  </si>
  <si>
    <t>National Insurance payable on the non SPV salary of the primary investor has been left out of this model in order to reduce complexity.  The amount of this tax would be unaffected by the structuring of the BTL investments.</t>
  </si>
  <si>
    <t>Salary from SPV</t>
  </si>
  <si>
    <t>Net Income of Secondary Owner</t>
  </si>
  <si>
    <t>Personal Net Income (Primary Investor)</t>
  </si>
  <si>
    <t>Personal Net Income (Secondary Investor)</t>
  </si>
  <si>
    <t>Only if non SPV salary in cell E9 &lt; NI threshhold of £8140</t>
  </si>
  <si>
    <t xml:space="preserve">NOTE - THIS MODEL HAS NOT BEEN SET UP TO CONSIDER THE IMPACT OF TRANSFERABLE PERSONAL </t>
  </si>
  <si>
    <t>ALLOWANCES - NOR CAN IT BE USED WHERE THE SPOUSE / PARTNER HAS THEIR OWN INCOME.</t>
  </si>
  <si>
    <t>Cells shown in this colour have been calculated to include the optimum level of salary.</t>
  </si>
  <si>
    <t xml:space="preserve">The user can examine the benefits of paying the primary investor a salary out of the SPV (if his </t>
  </si>
  <si>
    <t xml:space="preserve"> "main" salary is below the threshhold at which National Insurance is payable) as well as the benefit </t>
  </si>
  <si>
    <t>of paying a spouse/partner ("secondary" investor) a salary out of the SPV (assuming this person</t>
  </si>
  <si>
    <t xml:space="preserve"> has no other income).</t>
  </si>
  <si>
    <t>Only valid if secondary investor has no other taxable income</t>
  </si>
  <si>
    <t>This analysis shows the (all inclusive) finance cost needed to make it worthwile exiting an existing individual arrangement</t>
  </si>
  <si>
    <t>20%</t>
  </si>
  <si>
    <t>40%</t>
  </si>
  <si>
    <t>45%</t>
  </si>
  <si>
    <t>Current after tax cost</t>
  </si>
  <si>
    <t>Prospective after tax cost</t>
  </si>
  <si>
    <t>not make sense to give up this favourable arrangement until rates move up considerably from their</t>
  </si>
  <si>
    <t xml:space="preserve">current levels since the increase in interest costs will more than outweigh the tax saving from incorporation.  </t>
  </si>
  <si>
    <t>Break-even rate for limited company @ 18% tax rate</t>
  </si>
  <si>
    <t>If the user has some mortgages on long term trackers at very favourable rates (e.g. Bank Rate +2%) it may</t>
  </si>
  <si>
    <t xml:space="preserve">The following table shows the break-even point at which incorporation could be of benefit since the </t>
  </si>
  <si>
    <t>Tax Payer's Top Rate of Tax</t>
  </si>
  <si>
    <t xml:space="preserve">Tax Band               </t>
  </si>
  <si>
    <t>2017/18 analysis</t>
  </si>
  <si>
    <t>2018/19 analysis</t>
  </si>
  <si>
    <t>2019/20 analysis</t>
  </si>
  <si>
    <t>2020/21 analysis</t>
  </si>
  <si>
    <t>Break-even rate for limited company @ 19% tax rate</t>
  </si>
  <si>
    <t>Comparable pre tax cost with full tax deductibility</t>
  </si>
  <si>
    <t>Current interest rate paid</t>
  </si>
  <si>
    <t>after tax cost would be lower if the finance cost shown could be bettered.  This analyses below show the</t>
  </si>
  <si>
    <t>transitional years.</t>
  </si>
  <si>
    <t>break-even points once the new rules come into full effect in 2020/21 as well as in each of the preceding</t>
  </si>
  <si>
    <t>Break-even points</t>
  </si>
  <si>
    <t>BTL SDLT supplement</t>
  </si>
  <si>
    <t xml:space="preserve">from </t>
  </si>
  <si>
    <t>Proposed date of incorporation</t>
  </si>
  <si>
    <t xml:space="preserve">on purchases in excess of </t>
  </si>
  <si>
    <t>SDLT cost based on tax rates effective 30th November 2015.</t>
  </si>
  <si>
    <t>SDLT - non residential</t>
  </si>
  <si>
    <t>Above</t>
  </si>
  <si>
    <t>Applicable to portfolios of</t>
  </si>
  <si>
    <t xml:space="preserve">or more residential properties </t>
  </si>
  <si>
    <t>SDLT with MDR</t>
  </si>
  <si>
    <t>SDLT due on individual properties</t>
  </si>
  <si>
    <t>SDLT with Multiple Dwellings Relief</t>
  </si>
  <si>
    <t>Resi</t>
  </si>
  <si>
    <t>Comm SDLT</t>
  </si>
  <si>
    <t>Resi SDLT</t>
  </si>
  <si>
    <t>With MDR</t>
  </si>
  <si>
    <t>Without MDR</t>
  </si>
  <si>
    <t>Comm</t>
  </si>
  <si>
    <t>Lower of</t>
  </si>
  <si>
    <t>SDLT in the list below assumes that the sales would not be "linked transactions"</t>
  </si>
  <si>
    <t>for SDLT - tax advice should be obtained on "Multiple Dwellings Relief" and also</t>
  </si>
  <si>
    <t>on portfolio sales involving 6 or more residential properties.</t>
  </si>
  <si>
    <t xml:space="preserve">Commercial rate SDLT for portfolio of six or more properties </t>
  </si>
  <si>
    <t>The above calculations have been based on the principles set out in the Discussion</t>
  </si>
  <si>
    <t>SDLT (individually)</t>
  </si>
  <si>
    <t>Paper published by HMRC on 28th December 2015 and confirmed in the Budget on</t>
  </si>
  <si>
    <t xml:space="preserve">SDLT payable will be </t>
  </si>
  <si>
    <t>SDLT on average value</t>
  </si>
  <si>
    <t xml:space="preserve">MDR Minimum rate </t>
  </si>
  <si>
    <t xml:space="preserve">16 March 2016.  The tax payer will have the option on which basis to apply, so the </t>
  </si>
  <si>
    <t>Av value</t>
  </si>
  <si>
    <t>Users of this spreadsheet are advised to take detailed advice relating to their own circumstances.</t>
  </si>
  <si>
    <t>The above gives a general indication of the manner in which impending tax changes will affect borrowers.</t>
  </si>
  <si>
    <t>Total tax reduction &lt; 38.1% of annual limit</t>
  </si>
  <si>
    <t>Net tax on dividend</t>
  </si>
  <si>
    <t>Total dividends (restricted)</t>
  </si>
  <si>
    <t xml:space="preserve">Net tax </t>
  </si>
  <si>
    <t>BTL run as business and NI payable (Yes / No)</t>
  </si>
  <si>
    <t>Class 4 NI on business profit</t>
  </si>
  <si>
    <t>NI on BTL business profit (if applicable)</t>
  </si>
  <si>
    <t>Additional Class 4 NI payable if BTL is not an "investment"</t>
  </si>
  <si>
    <t>v.9   8/03/2017</t>
  </si>
  <si>
    <t>p.a. over individual borrowing rate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</si>
</sst>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0.0%"/>
    <numFmt numFmtId="165" formatCode="&quot;£&quot;#,##0"/>
    <numFmt numFmtId="166" formatCode="#,##0_ ;[Red]\-#,##0\ "/>
  </numFmts>
  <fonts count="23" x14ac:knownFonts="1">
    <font>
      <sz val="10"/>
      <color theme="1"/>
      <name val="Lucida Sans"/>
      <family val="2"/>
    </font>
    <font>
      <sz val="10"/>
      <color rgb="FF006100"/>
      <name val="Lucida Sans"/>
      <family val="2"/>
    </font>
    <font>
      <sz val="10"/>
      <color rgb="FF3F3F76"/>
      <name val="Lucida Sans"/>
      <family val="2"/>
    </font>
    <font>
      <b/>
      <sz val="10"/>
      <color theme="1"/>
      <name val="Lucida Sans"/>
      <family val="2"/>
    </font>
    <font>
      <b/>
      <u/>
      <sz val="10"/>
      <color theme="1"/>
      <name val="Lucida Sans"/>
      <family val="2"/>
    </font>
    <font>
      <b/>
      <u/>
      <sz val="16"/>
      <color theme="1"/>
      <name val="Lucida Sans"/>
      <family val="2"/>
    </font>
    <font>
      <b/>
      <sz val="14"/>
      <color theme="1"/>
      <name val="Lucida Sans"/>
      <family val="2"/>
    </font>
    <font>
      <b/>
      <sz val="10"/>
      <color rgb="FF3F3F76"/>
      <name val="Lucida Sans"/>
      <family val="2"/>
    </font>
    <font>
      <b/>
      <sz val="12"/>
      <color theme="1"/>
      <name val="Lucida Sans"/>
      <family val="2"/>
    </font>
    <font>
      <b/>
      <sz val="10"/>
      <color theme="0"/>
      <name val="Lucida Sans"/>
      <family val="2"/>
    </font>
    <font>
      <sz val="10"/>
      <color rgb="FFFF0000"/>
      <name val="Lucida Sans"/>
      <family val="2"/>
    </font>
    <font>
      <sz val="8"/>
      <color theme="1"/>
      <name val="Lucida Sans"/>
      <family val="2"/>
    </font>
    <font>
      <u/>
      <sz val="10"/>
      <color theme="1"/>
      <name val="Lucida Sans"/>
      <family val="2"/>
    </font>
    <font>
      <u/>
      <sz val="10"/>
      <color theme="10"/>
      <name val="Lucida Sans"/>
      <family val="2"/>
    </font>
    <font>
      <b/>
      <u/>
      <sz val="12"/>
      <color theme="10"/>
      <name val="Lucida Sans"/>
      <family val="2"/>
    </font>
    <font>
      <b/>
      <sz val="12"/>
      <color rgb="FFFF0000"/>
      <name val="Lucida Sans"/>
      <family val="2"/>
    </font>
    <font>
      <b/>
      <sz val="10"/>
      <color rgb="FFFA7D00"/>
      <name val="Lucida Sans"/>
      <family val="2"/>
    </font>
    <font>
      <b/>
      <sz val="12"/>
      <color rgb="FFFA7D00"/>
      <name val="Lucida Sans"/>
      <family val="2"/>
    </font>
    <font>
      <b/>
      <sz val="12"/>
      <color rgb="FFC00000"/>
      <name val="Lucida Sans"/>
      <family val="2"/>
    </font>
    <font>
      <b/>
      <u/>
      <sz val="12"/>
      <color theme="1"/>
      <name val="Lucida Sans"/>
      <family val="2"/>
    </font>
    <font>
      <b/>
      <i/>
      <u/>
      <sz val="8"/>
      <color theme="1"/>
      <name val="Lucida Sans"/>
      <family val="2"/>
    </font>
    <font>
      <b/>
      <i/>
      <sz val="8"/>
      <color theme="1"/>
      <name val="Lucida Sans"/>
      <family val="2"/>
    </font>
    <font>
      <sz val="9"/>
      <color theme="1"/>
      <name val="Lucida Sans"/>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A5A5A5"/>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9" fillId="4" borderId="2" applyNumberFormat="0" applyAlignment="0" applyProtection="0"/>
    <xf numFmtId="0" fontId="13" fillId="0" borderId="0" applyNumberFormat="0" applyFill="0" applyBorder="0" applyAlignment="0" applyProtection="0"/>
    <xf numFmtId="0" fontId="16" fillId="5" borderId="1" applyNumberFormat="0" applyAlignment="0" applyProtection="0"/>
  </cellStyleXfs>
  <cellXfs count="130">
    <xf numFmtId="0" fontId="0" fillId="0" borderId="0" xfId="0"/>
    <xf numFmtId="10" fontId="0" fillId="0" borderId="0" xfId="0" applyNumberFormat="1"/>
    <xf numFmtId="9" fontId="0" fillId="0" borderId="0" xfId="0" applyNumberFormat="1"/>
    <xf numFmtId="0" fontId="0" fillId="0" borderId="0" xfId="0" applyAlignment="1">
      <alignment horizontal="right"/>
    </xf>
    <xf numFmtId="0" fontId="3" fillId="0" borderId="0" xfId="0" applyFont="1" applyAlignment="1">
      <alignment horizontal="right"/>
    </xf>
    <xf numFmtId="1" fontId="0" fillId="0" borderId="0" xfId="0" applyNumberFormat="1"/>
    <xf numFmtId="10" fontId="2" fillId="3" borderId="1" xfId="2" applyNumberFormat="1"/>
    <xf numFmtId="0" fontId="4" fillId="0" borderId="0" xfId="0" applyFont="1"/>
    <xf numFmtId="0" fontId="4" fillId="0" borderId="0" xfId="0" applyFont="1" applyAlignment="1">
      <alignment horizontal="right"/>
    </xf>
    <xf numFmtId="0" fontId="5" fillId="0" borderId="0" xfId="0" applyFont="1"/>
    <xf numFmtId="0" fontId="6" fillId="0" borderId="0" xfId="0" applyFont="1"/>
    <xf numFmtId="0" fontId="0" fillId="0" borderId="0" xfId="0" applyFont="1" applyAlignment="1">
      <alignment horizontal="right"/>
    </xf>
    <xf numFmtId="0" fontId="3" fillId="0" borderId="0" xfId="0" applyFont="1"/>
    <xf numFmtId="1" fontId="3" fillId="0" borderId="0" xfId="0" applyNumberFormat="1" applyFont="1"/>
    <xf numFmtId="0" fontId="8" fillId="0" borderId="0" xfId="0" applyFont="1"/>
    <xf numFmtId="1" fontId="8" fillId="0" borderId="0" xfId="0" applyNumberFormat="1" applyFont="1"/>
    <xf numFmtId="3" fontId="0" fillId="0" borderId="0" xfId="0" applyNumberFormat="1"/>
    <xf numFmtId="3" fontId="3" fillId="0" borderId="0" xfId="0" applyNumberFormat="1" applyFont="1"/>
    <xf numFmtId="3" fontId="8" fillId="0" borderId="0" xfId="0" applyNumberFormat="1" applyFont="1"/>
    <xf numFmtId="3" fontId="8" fillId="0" borderId="0" xfId="0" applyNumberFormat="1" applyFont="1" applyAlignment="1">
      <alignment horizontal="right"/>
    </xf>
    <xf numFmtId="0" fontId="1" fillId="2" borderId="0" xfId="1"/>
    <xf numFmtId="0" fontId="2" fillId="3" borderId="1" xfId="2"/>
    <xf numFmtId="6" fontId="0" fillId="0" borderId="0" xfId="0" applyNumberFormat="1"/>
    <xf numFmtId="6" fontId="4" fillId="0" borderId="0" xfId="0" applyNumberFormat="1" applyFont="1"/>
    <xf numFmtId="0" fontId="0" fillId="0" borderId="0" xfId="0" applyAlignment="1">
      <alignment horizontal="left"/>
    </xf>
    <xf numFmtId="3" fontId="8" fillId="0" borderId="0" xfId="0" quotePrefix="1" applyNumberFormat="1" applyFont="1" applyAlignment="1">
      <alignment horizontal="right"/>
    </xf>
    <xf numFmtId="0" fontId="0" fillId="0" borderId="0" xfId="0" applyFont="1"/>
    <xf numFmtId="3" fontId="0" fillId="0" borderId="0" xfId="0" applyNumberFormat="1" applyFont="1"/>
    <xf numFmtId="9" fontId="3" fillId="0" borderId="0" xfId="0" applyNumberFormat="1" applyFont="1"/>
    <xf numFmtId="3" fontId="3" fillId="0" borderId="0" xfId="0" applyNumberFormat="1" applyFont="1" applyAlignment="1">
      <alignment horizontal="right"/>
    </xf>
    <xf numFmtId="1" fontId="0" fillId="0" borderId="0" xfId="0" applyNumberFormat="1" applyFont="1"/>
    <xf numFmtId="0" fontId="12" fillId="0" borderId="0" xfId="0" applyFont="1"/>
    <xf numFmtId="0" fontId="13" fillId="0" borderId="0" xfId="4"/>
    <xf numFmtId="0" fontId="0" fillId="0" borderId="0" xfId="0" quotePrefix="1" applyAlignment="1">
      <alignment horizontal="right"/>
    </xf>
    <xf numFmtId="0" fontId="6" fillId="0" borderId="0" xfId="0" applyFont="1" applyAlignment="1">
      <alignment horizontal="right"/>
    </xf>
    <xf numFmtId="1" fontId="10" fillId="0" borderId="0" xfId="0" applyNumberFormat="1" applyFont="1"/>
    <xf numFmtId="1" fontId="15" fillId="0" borderId="0" xfId="0" applyNumberFormat="1" applyFont="1"/>
    <xf numFmtId="0" fontId="9" fillId="4" borderId="2" xfId="3"/>
    <xf numFmtId="0" fontId="17" fillId="5" borderId="1" xfId="5" applyFont="1"/>
    <xf numFmtId="3" fontId="17" fillId="5" borderId="1" xfId="5" applyNumberFormat="1" applyFont="1"/>
    <xf numFmtId="0" fontId="4" fillId="0" borderId="0" xfId="0" applyFont="1" applyProtection="1">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Protection="1">
      <protection hidden="1"/>
    </xf>
    <xf numFmtId="9" fontId="0" fillId="0" borderId="0" xfId="0" applyNumberFormat="1" applyProtection="1">
      <protection hidden="1"/>
    </xf>
    <xf numFmtId="0" fontId="0" fillId="0" borderId="0" xfId="0" applyFont="1" applyProtection="1">
      <protection hidden="1"/>
    </xf>
    <xf numFmtId="0" fontId="0" fillId="0" borderId="0" xfId="0" applyAlignment="1" applyProtection="1">
      <alignment horizontal="right"/>
      <protection hidden="1"/>
    </xf>
    <xf numFmtId="0" fontId="0" fillId="0" borderId="0" xfId="0" applyFont="1" applyAlignment="1" applyProtection="1">
      <alignment horizontal="right"/>
      <protection hidden="1"/>
    </xf>
    <xf numFmtId="1" fontId="0" fillId="0" borderId="0" xfId="0" applyNumberFormat="1" applyAlignment="1" applyProtection="1">
      <alignment horizontal="right"/>
      <protection hidden="1"/>
    </xf>
    <xf numFmtId="164" fontId="0" fillId="0" borderId="0" xfId="0" applyNumberFormat="1" applyProtection="1">
      <protection hidden="1"/>
    </xf>
    <xf numFmtId="3" fontId="2" fillId="3" borderId="1" xfId="2" applyNumberFormat="1" applyProtection="1">
      <protection locked="0"/>
    </xf>
    <xf numFmtId="3" fontId="9" fillId="4" borderId="2" xfId="3" applyNumberFormat="1" applyProtection="1">
      <protection locked="0"/>
    </xf>
    <xf numFmtId="3" fontId="0" fillId="0" borderId="0" xfId="0" applyNumberFormat="1" applyFont="1" applyProtection="1">
      <protection locked="0"/>
    </xf>
    <xf numFmtId="3" fontId="0" fillId="0" borderId="0" xfId="0" applyNumberFormat="1" applyProtection="1">
      <protection hidden="1"/>
    </xf>
    <xf numFmtId="0" fontId="0" fillId="0" borderId="0" xfId="0" applyProtection="1">
      <protection locked="0"/>
    </xf>
    <xf numFmtId="0" fontId="5" fillId="0" borderId="0" xfId="0" applyFont="1" applyProtection="1"/>
    <xf numFmtId="0" fontId="4" fillId="0" borderId="0" xfId="0" applyFont="1" applyAlignment="1" applyProtection="1">
      <alignment horizontal="right"/>
    </xf>
    <xf numFmtId="3" fontId="16" fillId="5" borderId="1" xfId="5" applyNumberFormat="1" applyProtection="1"/>
    <xf numFmtId="3" fontId="0" fillId="0" borderId="0" xfId="0" applyNumberFormat="1" applyProtection="1"/>
    <xf numFmtId="3" fontId="3" fillId="0" borderId="0" xfId="0" applyNumberFormat="1" applyFont="1" applyProtection="1"/>
    <xf numFmtId="3" fontId="17" fillId="5" borderId="1" xfId="5" applyNumberFormat="1" applyFont="1" applyProtection="1"/>
    <xf numFmtId="3" fontId="8" fillId="0" borderId="0" xfId="0" applyNumberFormat="1" applyFont="1" applyProtection="1"/>
    <xf numFmtId="1" fontId="0" fillId="0" borderId="0" xfId="0" applyNumberFormat="1" applyProtection="1"/>
    <xf numFmtId="0" fontId="0" fillId="0" borderId="0" xfId="0" applyProtection="1"/>
    <xf numFmtId="165" fontId="2" fillId="3" borderId="1" xfId="2" applyNumberFormat="1" applyProtection="1">
      <protection locked="0"/>
    </xf>
    <xf numFmtId="0" fontId="4"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quotePrefix="1" applyAlignment="1" applyProtection="1">
      <alignment horizontal="right"/>
      <protection locked="0"/>
    </xf>
    <xf numFmtId="3" fontId="0" fillId="0" borderId="0" xfId="0" applyNumberFormat="1" applyProtection="1">
      <protection locked="0"/>
    </xf>
    <xf numFmtId="0" fontId="18" fillId="0" borderId="0" xfId="0" applyFont="1"/>
    <xf numFmtId="0" fontId="3" fillId="0" borderId="0" xfId="0" applyFont="1" applyProtection="1">
      <protection locked="0"/>
    </xf>
    <xf numFmtId="165" fontId="3" fillId="0" borderId="0" xfId="0" applyNumberFormat="1" applyFont="1" applyProtection="1"/>
    <xf numFmtId="0" fontId="6" fillId="0" borderId="0" xfId="0" applyFont="1" applyAlignment="1" applyProtection="1">
      <alignment horizontal="right"/>
    </xf>
    <xf numFmtId="0" fontId="6" fillId="0" borderId="0" xfId="0" applyFont="1" applyProtection="1"/>
    <xf numFmtId="0" fontId="3" fillId="0" borderId="0" xfId="0" applyFont="1" applyProtection="1"/>
    <xf numFmtId="0" fontId="4"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0" fillId="0" borderId="0" xfId="0" applyFont="1" applyProtection="1"/>
    <xf numFmtId="0" fontId="0" fillId="0" borderId="0" xfId="0" applyAlignment="1" applyProtection="1">
      <alignment horizontal="right"/>
    </xf>
    <xf numFmtId="165" fontId="3" fillId="0" borderId="0" xfId="0" applyNumberFormat="1" applyFont="1" applyAlignment="1" applyProtection="1">
      <alignment horizontal="center"/>
    </xf>
    <xf numFmtId="165" fontId="21" fillId="0" borderId="0" xfId="0" applyNumberFormat="1" applyFont="1" applyAlignment="1" applyProtection="1">
      <alignment horizontal="center"/>
    </xf>
    <xf numFmtId="0" fontId="0" fillId="0" borderId="0" xfId="0" applyAlignment="1" applyProtection="1">
      <alignment horizontal="center"/>
    </xf>
    <xf numFmtId="0" fontId="11" fillId="0" borderId="0" xfId="0" applyFont="1"/>
    <xf numFmtId="0" fontId="11" fillId="0" borderId="0" xfId="0" applyFont="1" applyAlignment="1">
      <alignment horizontal="right"/>
    </xf>
    <xf numFmtId="14" fontId="11" fillId="0" borderId="0" xfId="0" applyNumberFormat="1" applyFont="1" applyProtection="1"/>
    <xf numFmtId="0" fontId="16" fillId="5" borderId="1" xfId="5"/>
    <xf numFmtId="0" fontId="7" fillId="3" borderId="1" xfId="2" applyFont="1" applyAlignment="1" applyProtection="1">
      <alignment horizontal="center"/>
      <protection locked="0"/>
    </xf>
    <xf numFmtId="10" fontId="2" fillId="3" borderId="1" xfId="2" applyNumberFormat="1" applyProtection="1">
      <protection locked="0"/>
    </xf>
    <xf numFmtId="6" fontId="2" fillId="3" borderId="1" xfId="2" applyNumberFormat="1" applyProtection="1">
      <protection locked="0"/>
    </xf>
    <xf numFmtId="0" fontId="2" fillId="3" borderId="1" xfId="2" applyProtection="1">
      <protection locked="0"/>
    </xf>
    <xf numFmtId="2" fontId="2" fillId="3" borderId="1" xfId="2" applyNumberFormat="1" applyProtection="1">
      <protection locked="0"/>
    </xf>
    <xf numFmtId="9" fontId="16" fillId="5" borderId="1" xfId="5" applyNumberFormat="1" applyProtection="1"/>
    <xf numFmtId="0" fontId="12" fillId="0" borderId="0" xfId="0" applyFont="1" applyProtection="1">
      <protection hidden="1"/>
    </xf>
    <xf numFmtId="9" fontId="12" fillId="0" borderId="0" xfId="0" applyNumberFormat="1" applyFont="1"/>
    <xf numFmtId="9" fontId="2" fillId="3" borderId="1" xfId="2" applyNumberFormat="1" applyAlignment="1" applyProtection="1">
      <alignment horizontal="center"/>
      <protection locked="0"/>
    </xf>
    <xf numFmtId="165" fontId="16" fillId="5" borderId="1" xfId="5" applyNumberFormat="1"/>
    <xf numFmtId="3" fontId="2" fillId="3" borderId="1" xfId="2" applyNumberFormat="1" applyAlignment="1" applyProtection="1">
      <alignment horizontal="center"/>
      <protection locked="0"/>
    </xf>
    <xf numFmtId="9" fontId="0" fillId="0" borderId="0" xfId="0" applyNumberFormat="1" applyProtection="1">
      <protection locked="0"/>
    </xf>
    <xf numFmtId="3" fontId="1" fillId="2" borderId="0" xfId="1" applyNumberFormat="1" applyProtection="1">
      <protection locked="0"/>
    </xf>
    <xf numFmtId="9" fontId="1" fillId="2" borderId="0" xfId="1" applyNumberFormat="1" applyProtection="1">
      <protection locked="0"/>
    </xf>
    <xf numFmtId="10" fontId="0" fillId="0" borderId="0" xfId="0" applyNumberFormat="1" applyProtection="1">
      <protection locked="0"/>
    </xf>
    <xf numFmtId="0" fontId="3" fillId="0" borderId="0" xfId="0" applyFont="1" applyAlignment="1" applyProtection="1">
      <alignment horizontal="right"/>
      <protection locked="0"/>
    </xf>
    <xf numFmtId="10" fontId="1" fillId="2" borderId="0" xfId="1" applyNumberFormat="1" applyProtection="1">
      <protection locked="0"/>
    </xf>
    <xf numFmtId="1" fontId="1" fillId="2" borderId="0" xfId="1" applyNumberFormat="1" applyProtection="1">
      <protection locked="0"/>
    </xf>
    <xf numFmtId="9" fontId="0" fillId="0" borderId="0" xfId="0" applyNumberFormat="1" applyAlignment="1">
      <alignment horizontal="center"/>
    </xf>
    <xf numFmtId="164" fontId="2" fillId="3" borderId="1" xfId="2" applyNumberFormat="1" applyAlignment="1">
      <alignment horizontal="center"/>
    </xf>
    <xf numFmtId="10" fontId="0" fillId="0" borderId="0" xfId="0" applyNumberFormat="1" applyAlignment="1">
      <alignment horizontal="center"/>
    </xf>
    <xf numFmtId="9" fontId="1" fillId="2" borderId="0" xfId="1" applyNumberFormat="1" applyProtection="1"/>
    <xf numFmtId="15" fontId="1" fillId="2" borderId="0" xfId="1" applyNumberFormat="1" applyProtection="1"/>
    <xf numFmtId="6" fontId="1" fillId="2" borderId="0" xfId="1" applyNumberFormat="1" applyProtection="1"/>
    <xf numFmtId="15" fontId="2" fillId="3" borderId="1" xfId="2" applyNumberFormat="1" applyProtection="1">
      <protection locked="0"/>
    </xf>
    <xf numFmtId="6" fontId="0" fillId="0" borderId="0" xfId="0" applyNumberFormat="1" applyFont="1"/>
    <xf numFmtId="166" fontId="1" fillId="2" borderId="0" xfId="1" applyNumberFormat="1" applyProtection="1"/>
    <xf numFmtId="165" fontId="3" fillId="0" borderId="0" xfId="0" applyNumberFormat="1" applyFont="1"/>
    <xf numFmtId="6" fontId="3" fillId="0" borderId="0" xfId="0" applyNumberFormat="1" applyFont="1"/>
    <xf numFmtId="3"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6" fontId="3" fillId="0" borderId="0" xfId="0" applyNumberFormat="1" applyFont="1" applyAlignment="1">
      <alignment horizontal="center"/>
    </xf>
    <xf numFmtId="6" fontId="4" fillId="0" borderId="0" xfId="0" applyNumberFormat="1" applyFont="1" applyAlignment="1">
      <alignment horizontal="center"/>
    </xf>
    <xf numFmtId="3" fontId="11" fillId="0" borderId="0" xfId="0" applyNumberFormat="1" applyFont="1" applyAlignment="1">
      <alignment horizontal="right"/>
    </xf>
    <xf numFmtId="17" fontId="11" fillId="0" borderId="0" xfId="0" applyNumberFormat="1" applyFont="1" applyAlignment="1">
      <alignment horizontal="right"/>
    </xf>
    <xf numFmtId="0" fontId="22" fillId="0" borderId="0" xfId="0" applyFont="1" applyProtection="1">
      <protection locked="0"/>
    </xf>
    <xf numFmtId="0" fontId="19" fillId="0" borderId="0" xfId="0" applyFont="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alignment horizontal="center" wrapText="1"/>
    </xf>
    <xf numFmtId="0" fontId="0" fillId="0" borderId="0" xfId="0" applyAlignment="1" applyProtection="1">
      <alignment horizontal="center" wrapText="1"/>
    </xf>
    <xf numFmtId="0" fontId="11" fillId="0" borderId="0" xfId="0" applyFont="1" applyAlignment="1" applyProtection="1">
      <alignment wrapText="1"/>
    </xf>
    <xf numFmtId="0" fontId="11" fillId="0" borderId="0" xfId="0" applyFont="1" applyAlignment="1">
      <alignment wrapText="1"/>
    </xf>
    <xf numFmtId="0" fontId="12" fillId="0" borderId="0" xfId="0" applyFont="1" applyAlignment="1">
      <alignment horizontal="center"/>
    </xf>
  </cellXfs>
  <cellStyles count="6">
    <cellStyle name="Calculation" xfId="5" builtinId="22"/>
    <cellStyle name="Check Cell" xfId="3" builtinId="23"/>
    <cellStyle name="Good" xfId="1" builtinId="26"/>
    <cellStyle name="Hyperlink" xfId="4" builtinId="8"/>
    <cellStyle name="Input" xfId="2" builtinId="20"/>
    <cellStyle name="Normal" xfId="0" builtinId="0"/>
  </cellStyles>
  <dxfs count="25">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3" formatCode="#,##0"/>
      <protection locked="0" hidden="0"/>
    </dxf>
    <dxf>
      <protection locked="0" hidden="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27:D66" totalsRowShown="0" headerRowDxfId="24">
  <autoFilter ref="A27:D66"/>
  <tableColumns count="4">
    <tableColumn id="1" name="Property reference" dataDxfId="23"/>
    <tableColumn id="2" name="Property Value" dataDxfId="22" dataCellStyle="Input"/>
    <tableColumn id="3" name="SDLT (individually)" dataDxfId="21"/>
    <tableColumn id="4" name="Legal" dataDxfId="2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51:D55" totalsRowShown="0" headerRowDxfId="19">
  <autoFilter ref="A51:D55"/>
  <tableColumns count="4">
    <tableColumn id="1" name="Tax Band               "/>
    <tableColumn id="2" name="20%" dataDxfId="18">
      <calculatedColumnFormula>$B12*(1-Table2[[#Headers],[20%]])</calculatedColumnFormula>
    </tableColumn>
    <tableColumn id="3" name="40%" dataDxfId="17">
      <calculatedColumnFormula>Table2[[#This Row],[20%]]</calculatedColumnFormula>
    </tableColumn>
    <tableColumn id="4" name="45%" dataDxfId="16"/>
  </tableColumns>
  <tableStyleInfo name="TableStyleLight9" showFirstColumn="0" showLastColumn="0" showRowStripes="1" showColumnStripes="0"/>
</table>
</file>

<file path=xl/tables/table3.xml><?xml version="1.0" encoding="utf-8"?>
<table xmlns="http://schemas.openxmlformats.org/spreadsheetml/2006/main" id="4" name="Table25" displayName="Table25" ref="A24:D28" totalsRowShown="0" headerRowDxfId="15">
  <autoFilter ref="A24:D28"/>
  <tableColumns count="4">
    <tableColumn id="1" name="Tax Band               "/>
    <tableColumn id="2" name="20%" dataDxfId="14">
      <calculatedColumnFormula>#REF!*(1-Table25[[#Headers],[20%]])</calculatedColumnFormula>
    </tableColumn>
    <tableColumn id="3" name="40%" dataDxfId="13">
      <calculatedColumnFormula>Table25[[#This Row],[20%]]</calculatedColumnFormula>
    </tableColumn>
    <tableColumn id="4" name="45%" dataDxfId="12"/>
  </tableColumns>
  <tableStyleInfo name="TableStyleLight9" showFirstColumn="0" showLastColumn="0" showRowStripes="1" showColumnStripes="0"/>
</table>
</file>

<file path=xl/tables/table4.xml><?xml version="1.0" encoding="utf-8"?>
<table xmlns="http://schemas.openxmlformats.org/spreadsheetml/2006/main" id="5" name="Table256" displayName="Table256" ref="A33:D37" totalsRowShown="0" headerRowDxfId="11">
  <autoFilter ref="A33:D37"/>
  <tableColumns count="4">
    <tableColumn id="1" name="Tax Band               "/>
    <tableColumn id="2" name="20%" dataDxfId="10">
      <calculatedColumnFormula>$B29*(1-Table256[[#Headers],[20%]])</calculatedColumnFormula>
    </tableColumn>
    <tableColumn id="3" name="40%" dataDxfId="9">
      <calculatedColumnFormula>Table256[[#This Row],[20%]]</calculatedColumnFormula>
    </tableColumn>
    <tableColumn id="4" name="45%" dataDxfId="8"/>
  </tableColumns>
  <tableStyleInfo name="TableStyleLight9" showFirstColumn="0" showLastColumn="0" showRowStripes="1" showColumnStripes="0"/>
</table>
</file>

<file path=xl/tables/table5.xml><?xml version="1.0" encoding="utf-8"?>
<table xmlns="http://schemas.openxmlformats.org/spreadsheetml/2006/main" id="6" name="Table2567" displayName="Table2567" ref="A42:D46" totalsRowShown="0" headerRowDxfId="7">
  <autoFilter ref="A42:D46"/>
  <tableColumns count="4">
    <tableColumn id="1" name="Tax Band               "/>
    <tableColumn id="2" name="20%" dataDxfId="6">
      <calculatedColumnFormula>$B38*(1-Table2567[[#Headers],[20%]])</calculatedColumnFormula>
    </tableColumn>
    <tableColumn id="3" name="40%" dataDxfId="5">
      <calculatedColumnFormula>Table2567[[#This Row],[20%]]</calculatedColumnFormula>
    </tableColumn>
    <tableColumn id="4" name="45%" dataDxfId="4"/>
  </tableColumns>
  <tableStyleInfo name="TableStyleLight9" showFirstColumn="0" showLastColumn="0" showRowStripes="1" showColumnStripes="0"/>
</table>
</file>

<file path=xl/tables/table6.xml><?xml version="1.0" encoding="utf-8"?>
<table xmlns="http://schemas.openxmlformats.org/spreadsheetml/2006/main" id="8" name="Table29" displayName="Table29" ref="A15:D19" totalsRowShown="0" headerRowDxfId="3">
  <autoFilter ref="A15:D19"/>
  <tableColumns count="4">
    <tableColumn id="1" name="Tax Band               "/>
    <tableColumn id="2" name="20%" dataDxfId="2">
      <calculatedColumnFormula>$B3*(1-Table29[[#Headers],[20%]])</calculatedColumnFormula>
    </tableColumn>
    <tableColumn id="3" name="40%" dataDxfId="1"/>
    <tableColumn id="4" name="45%"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9"/>
  <sheetViews>
    <sheetView topLeftCell="A13" workbookViewId="0">
      <selection activeCell="C64" sqref="C64"/>
    </sheetView>
  </sheetViews>
  <sheetFormatPr defaultRowHeight="12.75" x14ac:dyDescent="0.2"/>
  <cols>
    <col min="1" max="1" width="78.125" customWidth="1"/>
  </cols>
  <sheetData>
    <row r="1" spans="1:1" ht="19.5" x14ac:dyDescent="0.25">
      <c r="A1" s="9" t="s">
        <v>67</v>
      </c>
    </row>
    <row r="3" spans="1:1" ht="15" x14ac:dyDescent="0.2">
      <c r="A3" s="32" t="s">
        <v>93</v>
      </c>
    </row>
    <row r="5" spans="1:1" x14ac:dyDescent="0.2">
      <c r="A5" t="s">
        <v>94</v>
      </c>
    </row>
    <row r="6" spans="1:1" x14ac:dyDescent="0.2">
      <c r="A6" t="s">
        <v>96</v>
      </c>
    </row>
    <row r="7" spans="1:1" x14ac:dyDescent="0.2">
      <c r="A7" t="s">
        <v>95</v>
      </c>
    </row>
    <row r="9" spans="1:1" x14ac:dyDescent="0.2">
      <c r="A9" t="s">
        <v>97</v>
      </c>
    </row>
    <row r="11" spans="1:1" x14ac:dyDescent="0.2">
      <c r="A11" t="s">
        <v>149</v>
      </c>
    </row>
    <row r="12" spans="1:1" x14ac:dyDescent="0.2">
      <c r="A12" t="s">
        <v>150</v>
      </c>
    </row>
    <row r="13" spans="1:1" x14ac:dyDescent="0.2">
      <c r="A13" t="s">
        <v>151</v>
      </c>
    </row>
    <row r="14" spans="1:1" x14ac:dyDescent="0.2">
      <c r="A14" t="s">
        <v>152</v>
      </c>
    </row>
    <row r="16" spans="1:1" x14ac:dyDescent="0.2">
      <c r="A16" s="21" t="str">
        <f>A44</f>
        <v>Cells shown in orange should be adjusted by the user based on their own circumstances.</v>
      </c>
    </row>
    <row r="18" spans="1:1" x14ac:dyDescent="0.2">
      <c r="A18" s="85" t="s">
        <v>148</v>
      </c>
    </row>
    <row r="20" spans="1:1" x14ac:dyDescent="0.2">
      <c r="A20" t="s">
        <v>98</v>
      </c>
    </row>
    <row r="21" spans="1:1" x14ac:dyDescent="0.2">
      <c r="A21" t="s">
        <v>99</v>
      </c>
    </row>
    <row r="23" spans="1:1" x14ac:dyDescent="0.2">
      <c r="A23" t="s">
        <v>146</v>
      </c>
    </row>
    <row r="24" spans="1:1" x14ac:dyDescent="0.2">
      <c r="A24" t="s">
        <v>147</v>
      </c>
    </row>
    <row r="27" spans="1:1" ht="15" x14ac:dyDescent="0.2">
      <c r="A27" s="32" t="s">
        <v>77</v>
      </c>
    </row>
    <row r="28" spans="1:1" x14ac:dyDescent="0.2">
      <c r="A28" s="31"/>
    </row>
    <row r="29" spans="1:1" x14ac:dyDescent="0.2">
      <c r="A29" t="s">
        <v>68</v>
      </c>
    </row>
    <row r="31" spans="1:1" x14ac:dyDescent="0.2">
      <c r="A31" s="20" t="s">
        <v>90</v>
      </c>
    </row>
    <row r="32" spans="1:1" x14ac:dyDescent="0.2">
      <c r="A32" t="s">
        <v>69</v>
      </c>
    </row>
    <row r="34" spans="1:1" x14ac:dyDescent="0.2">
      <c r="A34" s="21" t="s">
        <v>70</v>
      </c>
    </row>
    <row r="36" spans="1:1" x14ac:dyDescent="0.2">
      <c r="A36" t="s">
        <v>71</v>
      </c>
    </row>
    <row r="39" spans="1:1" ht="15" x14ac:dyDescent="0.2">
      <c r="A39" s="32" t="s">
        <v>78</v>
      </c>
    </row>
    <row r="40" spans="1:1" x14ac:dyDescent="0.2">
      <c r="A40" s="31"/>
    </row>
    <row r="41" spans="1:1" x14ac:dyDescent="0.2">
      <c r="A41" t="s">
        <v>81</v>
      </c>
    </row>
    <row r="42" spans="1:1" x14ac:dyDescent="0.2">
      <c r="A42" t="s">
        <v>72</v>
      </c>
    </row>
    <row r="44" spans="1:1" x14ac:dyDescent="0.2">
      <c r="A44" s="21" t="s">
        <v>86</v>
      </c>
    </row>
    <row r="46" spans="1:1" x14ac:dyDescent="0.2">
      <c r="A46" t="s">
        <v>76</v>
      </c>
    </row>
    <row r="48" spans="1:1" x14ac:dyDescent="0.2">
      <c r="A48" t="s">
        <v>74</v>
      </c>
    </row>
    <row r="49" spans="1:1" x14ac:dyDescent="0.2">
      <c r="A49" t="s">
        <v>75</v>
      </c>
    </row>
    <row r="51" spans="1:1" x14ac:dyDescent="0.2">
      <c r="A51" s="7" t="s">
        <v>73</v>
      </c>
    </row>
    <row r="54" spans="1:1" ht="15" x14ac:dyDescent="0.2">
      <c r="A54" s="32" t="s">
        <v>79</v>
      </c>
    </row>
    <row r="56" spans="1:1" x14ac:dyDescent="0.2">
      <c r="A56" s="85" t="s">
        <v>107</v>
      </c>
    </row>
    <row r="57" spans="1:1" ht="13.5" thickBot="1" x14ac:dyDescent="0.25"/>
    <row r="58" spans="1:1" ht="14.25" thickTop="1" thickBot="1" x14ac:dyDescent="0.25">
      <c r="A58" s="37" t="s">
        <v>85</v>
      </c>
    </row>
    <row r="59" spans="1:1" ht="14.25" thickTop="1" thickBot="1" x14ac:dyDescent="0.25">
      <c r="A59" s="37" t="s">
        <v>84</v>
      </c>
    </row>
    <row r="60" spans="1:1" ht="13.5" thickTop="1" x14ac:dyDescent="0.2"/>
    <row r="61" spans="1:1" x14ac:dyDescent="0.2">
      <c r="A61" t="s">
        <v>109</v>
      </c>
    </row>
    <row r="62" spans="1:1" x14ac:dyDescent="0.2">
      <c r="A62" t="s">
        <v>110</v>
      </c>
    </row>
    <row r="63" spans="1:1" x14ac:dyDescent="0.2">
      <c r="A63" t="s">
        <v>111</v>
      </c>
    </row>
    <row r="66" spans="1:1" x14ac:dyDescent="0.2">
      <c r="A66" t="s">
        <v>89</v>
      </c>
    </row>
    <row r="67" spans="1:1" x14ac:dyDescent="0.2">
      <c r="A67" t="s">
        <v>87</v>
      </c>
    </row>
    <row r="68" spans="1:1" x14ac:dyDescent="0.2">
      <c r="A68" t="s">
        <v>88</v>
      </c>
    </row>
    <row r="69" spans="1:1" x14ac:dyDescent="0.2">
      <c r="A69" s="121" t="str">
        <f>Summary!J29</f>
        <v>v.9   8/03/2017</v>
      </c>
    </row>
  </sheetData>
  <sheetProtection algorithmName="SHA-512" hashValue="XtxPu/FtQIwC+w7jwEDKIytciHn7LiCj2UA+NDBDEtKvJcuHoNzCb3h/mK6zyP0b8rF9hxX8hpwqGTV/L5sAqA==" saltValue="LydPxJ1Tmmu3WlTntJ4+tw==" spinCount="100000" sheet="1" objects="1" scenarios="1"/>
  <hyperlinks>
    <hyperlink ref="A27" location="Legislation!A1" display="Legislation page"/>
    <hyperlink ref="A39" location="'Incorporation costs'!A1" display="Incorporation costs page"/>
    <hyperlink ref="A54" location="'Income and Tax'!A1" display="Income and Tax page"/>
    <hyperlink ref="A3" location="Summary!A1" display="Summary"/>
  </hyperlink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zoomScaleNormal="100" workbookViewId="0">
      <selection activeCell="J29" sqref="J29"/>
    </sheetView>
  </sheetViews>
  <sheetFormatPr defaultRowHeight="12.75" x14ac:dyDescent="0.2"/>
  <cols>
    <col min="1" max="1" width="40.375" customWidth="1"/>
    <col min="2" max="2" width="6.75" style="54" customWidth="1"/>
    <col min="3" max="4" width="12.625" style="54" customWidth="1"/>
    <col min="5" max="5" width="9.875" customWidth="1"/>
    <col min="6" max="6" width="14.25" customWidth="1"/>
    <col min="7" max="8" width="13.125" customWidth="1"/>
    <col min="9" max="9" width="15" customWidth="1"/>
    <col min="10" max="15" width="13.125" customWidth="1"/>
  </cols>
  <sheetData>
    <row r="1" spans="1:10" ht="19.5" x14ac:dyDescent="0.25">
      <c r="A1" s="9" t="s">
        <v>91</v>
      </c>
    </row>
    <row r="2" spans="1:10" x14ac:dyDescent="0.2">
      <c r="E2" s="65" t="s">
        <v>100</v>
      </c>
    </row>
    <row r="3" spans="1:10" x14ac:dyDescent="0.2">
      <c r="E3" s="54"/>
    </row>
    <row r="4" spans="1:10" x14ac:dyDescent="0.2">
      <c r="A4" t="s">
        <v>11</v>
      </c>
      <c r="B4" s="66"/>
      <c r="E4" s="64">
        <v>18000</v>
      </c>
    </row>
    <row r="5" spans="1:10" x14ac:dyDescent="0.2">
      <c r="A5" t="s">
        <v>12</v>
      </c>
      <c r="D5" s="67" t="s">
        <v>83</v>
      </c>
      <c r="E5" s="64">
        <v>-2000</v>
      </c>
      <c r="H5" s="35" t="str">
        <f>+IF(E5&gt;0,"Error - cell d5 should be negative","")</f>
        <v/>
      </c>
    </row>
    <row r="6" spans="1:10" x14ac:dyDescent="0.2">
      <c r="A6" t="s">
        <v>13</v>
      </c>
      <c r="D6" s="66" t="str">
        <f>D5</f>
        <v>-ve</v>
      </c>
      <c r="E6" s="64">
        <v>-10000</v>
      </c>
      <c r="H6" s="35" t="str">
        <f>+IF(E6&gt;0,"Error - cell d6 should be negative","")</f>
        <v/>
      </c>
    </row>
    <row r="7" spans="1:10" s="12" customFormat="1" x14ac:dyDescent="0.2">
      <c r="A7" s="12" t="s">
        <v>92</v>
      </c>
      <c r="B7" s="70"/>
      <c r="C7" s="70"/>
      <c r="D7" s="70"/>
      <c r="E7" s="71">
        <f>SUM(E4:E6)</f>
        <v>6000</v>
      </c>
    </row>
    <row r="8" spans="1:10" s="12" customFormat="1" x14ac:dyDescent="0.2">
      <c r="B8" s="70"/>
      <c r="C8" s="70"/>
      <c r="D8" s="70"/>
      <c r="E8" s="71"/>
    </row>
    <row r="9" spans="1:10" x14ac:dyDescent="0.2">
      <c r="A9" t="s">
        <v>137</v>
      </c>
      <c r="E9" s="64">
        <v>40000</v>
      </c>
    </row>
    <row r="10" spans="1:10" x14ac:dyDescent="0.2">
      <c r="A10" t="s">
        <v>10</v>
      </c>
      <c r="E10" s="64"/>
    </row>
    <row r="11" spans="1:10" x14ac:dyDescent="0.2">
      <c r="C11" s="68"/>
      <c r="D11" s="68"/>
    </row>
    <row r="12" spans="1:10" x14ac:dyDescent="0.2">
      <c r="A12" t="s">
        <v>215</v>
      </c>
      <c r="C12" s="68"/>
      <c r="D12" s="96" t="s">
        <v>45</v>
      </c>
      <c r="J12" s="3" t="s">
        <v>218</v>
      </c>
    </row>
    <row r="13" spans="1:10" x14ac:dyDescent="0.2">
      <c r="A13" t="s">
        <v>132</v>
      </c>
      <c r="C13" s="68"/>
      <c r="D13" s="96" t="s">
        <v>127</v>
      </c>
      <c r="E13" s="95">
        <f>'Income and Tax'!I91</f>
        <v>0</v>
      </c>
      <c r="J13" s="3" t="s">
        <v>145</v>
      </c>
    </row>
    <row r="14" spans="1:10" x14ac:dyDescent="0.2">
      <c r="A14" t="s">
        <v>133</v>
      </c>
      <c r="C14" s="68"/>
      <c r="D14" s="96" t="s">
        <v>45</v>
      </c>
      <c r="E14" s="95">
        <f>'Income and Tax'!I92</f>
        <v>0</v>
      </c>
      <c r="J14" s="3" t="s">
        <v>153</v>
      </c>
    </row>
    <row r="15" spans="1:10" ht="15" x14ac:dyDescent="0.2">
      <c r="A15" t="s">
        <v>64</v>
      </c>
      <c r="C15" s="68"/>
      <c r="D15" s="68"/>
      <c r="E15" s="94">
        <v>0.85</v>
      </c>
      <c r="F15" s="69" t="str">
        <f>+IF(E15&gt;1,"Error - Cell B12 should be input as a value of 100% or less","")</f>
        <v/>
      </c>
      <c r="G15" s="69"/>
    </row>
    <row r="16" spans="1:10" x14ac:dyDescent="0.2">
      <c r="C16" s="68"/>
      <c r="D16" s="68"/>
    </row>
    <row r="17" spans="1:17" x14ac:dyDescent="0.2">
      <c r="C17" s="68"/>
      <c r="D17" s="68"/>
    </row>
    <row r="18" spans="1:17" s="63" customFormat="1" ht="34.5" customHeight="1" x14ac:dyDescent="0.25">
      <c r="A18" s="72" t="s">
        <v>103</v>
      </c>
      <c r="B18" s="73"/>
      <c r="C18" s="125" t="str">
        <f>'Income and Tax'!C1</f>
        <v>Direct Individual investment</v>
      </c>
      <c r="D18" s="126"/>
      <c r="F18" s="123" t="str">
        <f>'Income and Tax'!I1</f>
        <v>BTL investment via SPV</v>
      </c>
      <c r="G18" s="123"/>
      <c r="H18" s="124"/>
      <c r="I18" s="124"/>
      <c r="J18" s="124"/>
      <c r="P18" s="73"/>
      <c r="Q18" s="73"/>
    </row>
    <row r="19" spans="1:17" s="77" customFormat="1" ht="47.25" customHeight="1" x14ac:dyDescent="0.2">
      <c r="A19" s="74"/>
      <c r="B19" s="74"/>
      <c r="C19" s="75" t="str">
        <f>F19</f>
        <v>Personal Net Income (Primary Investor)</v>
      </c>
      <c r="D19" s="76" t="s">
        <v>104</v>
      </c>
      <c r="F19" s="75" t="s">
        <v>143</v>
      </c>
      <c r="G19" s="75" t="s">
        <v>144</v>
      </c>
      <c r="H19" s="75" t="s">
        <v>101</v>
      </c>
      <c r="I19" s="75" t="s">
        <v>102</v>
      </c>
      <c r="J19" s="76" t="s">
        <v>42</v>
      </c>
      <c r="K19" s="74"/>
      <c r="L19" s="74"/>
      <c r="M19" s="74"/>
      <c r="N19" s="74"/>
      <c r="O19" s="74"/>
      <c r="P19" s="74"/>
      <c r="Q19" s="74"/>
    </row>
    <row r="20" spans="1:17" s="63" customFormat="1" ht="18" x14ac:dyDescent="0.25">
      <c r="A20" s="78" t="s">
        <v>17</v>
      </c>
      <c r="C20" s="79">
        <f>+IF('Income and Tax'!C31="","",'Income and Tax'!C31)</f>
        <v>38400</v>
      </c>
      <c r="D20" s="80">
        <f>'Income and Tax'!C$27+'Income and Tax'!C$29</f>
        <v>7600</v>
      </c>
      <c r="E20" s="81"/>
      <c r="F20" s="79">
        <f>+IF('Income and Tax'!I31="","",'Income and Tax'!I31)</f>
        <v>37470.800000000003</v>
      </c>
      <c r="G20" s="79">
        <f>+IF('Income and Tax'!I33="","",'Income and Tax'!I33)</f>
        <v>0</v>
      </c>
      <c r="H20" s="79">
        <f>+IF('Income and Tax'!I35="","",'Income and Tax'!I35)</f>
        <v>577.20000000000027</v>
      </c>
      <c r="I20" s="79">
        <f>F20+G20+H20</f>
        <v>38048</v>
      </c>
      <c r="J20" s="80">
        <f>+IF('Income and Tax'!I40="","",'Income and Tax'!I40)</f>
        <v>6762</v>
      </c>
      <c r="K20" s="73" t="str">
        <f>+IF('Income and Tax'!I32="","",'Income and Tax'!I32)</f>
        <v/>
      </c>
      <c r="L20" s="73" t="str">
        <f>+IF('Income and Tax'!J32="","",'Income and Tax'!J32)</f>
        <v/>
      </c>
      <c r="M20" s="73" t="str">
        <f>+IF('Income and Tax'!K32="","",'Income and Tax'!K32)</f>
        <v/>
      </c>
      <c r="N20" s="73" t="str">
        <f>+IF('Income and Tax'!L32="","",'Income and Tax'!L32)</f>
        <v/>
      </c>
      <c r="O20" s="73" t="str">
        <f>+IF('Income and Tax'!M32="","",'Income and Tax'!M32)</f>
        <v/>
      </c>
    </row>
    <row r="21" spans="1:17" s="63" customFormat="1" x14ac:dyDescent="0.2">
      <c r="A21" s="78" t="s">
        <v>1</v>
      </c>
      <c r="C21" s="79">
        <f>+IF('Income and Tax'!D31="","",'Income and Tax'!D31)</f>
        <v>38400</v>
      </c>
      <c r="D21" s="80">
        <f>'Income and Tax'!D$27+'Income and Tax'!D$29</f>
        <v>7600</v>
      </c>
      <c r="E21" s="81"/>
      <c r="F21" s="79">
        <f>+IF('Income and Tax'!J31="","",'Income and Tax'!J31)</f>
        <v>37611.684999999998</v>
      </c>
      <c r="G21" s="79">
        <f>+IF('Income and Tax'!J33="","",'Income and Tax'!J33)</f>
        <v>0</v>
      </c>
      <c r="H21" s="79">
        <f>+IF('Income and Tax'!J35="","",'Income and Tax'!J35)</f>
        <v>584.41499999999996</v>
      </c>
      <c r="I21" s="79">
        <f t="shared" ref="I21:I24" si="0">F21+G21+H21</f>
        <v>38196.1</v>
      </c>
      <c r="J21" s="80">
        <f>+IF('Income and Tax'!J40="","",'Income and Tax'!J40)</f>
        <v>6613.9</v>
      </c>
    </row>
    <row r="22" spans="1:17" s="63" customFormat="1" ht="18" x14ac:dyDescent="0.25">
      <c r="A22" s="78" t="s">
        <v>2</v>
      </c>
      <c r="C22" s="79">
        <f>+IF('Income and Tax'!E31="","",'Income and Tax'!E31)</f>
        <v>37900</v>
      </c>
      <c r="D22" s="80">
        <f>'Income and Tax'!E$27+'Income and Tax'!E$29</f>
        <v>8100</v>
      </c>
      <c r="E22" s="81"/>
      <c r="F22" s="79">
        <f>+IF('Income and Tax'!K31="","",'Income and Tax'!K31)</f>
        <v>37513.308624999998</v>
      </c>
      <c r="G22" s="79">
        <f>+IF('Income and Tax'!K33="","",'Income and Tax'!K33)</f>
        <v>0</v>
      </c>
      <c r="H22" s="79">
        <f>+IF('Income and Tax'!K35="","",'Income and Tax'!K35)</f>
        <v>584.41499999999996</v>
      </c>
      <c r="I22" s="79">
        <f t="shared" si="0"/>
        <v>38097.723624999999</v>
      </c>
      <c r="J22" s="80">
        <f>+IF('Income and Tax'!K40="","",'Income and Tax'!K40)</f>
        <v>6712.2763749999995</v>
      </c>
      <c r="K22" s="73" t="str">
        <f>+IF('Income and Tax'!I36="","",'Income and Tax'!I36)</f>
        <v/>
      </c>
      <c r="L22" s="73" t="str">
        <f>+IF('Income and Tax'!J36="","",'Income and Tax'!J36)</f>
        <v/>
      </c>
      <c r="M22" s="73" t="str">
        <f>+IF('Income and Tax'!K36="","",'Income and Tax'!K36)</f>
        <v/>
      </c>
      <c r="N22" s="73" t="str">
        <f>+IF('Income and Tax'!L36="","",'Income and Tax'!L36)</f>
        <v/>
      </c>
      <c r="O22" s="73" t="str">
        <f>+IF('Income and Tax'!M36="","",'Income and Tax'!M36)</f>
        <v/>
      </c>
    </row>
    <row r="23" spans="1:17" s="63" customFormat="1" x14ac:dyDescent="0.2">
      <c r="A23" s="78" t="s">
        <v>3</v>
      </c>
      <c r="C23" s="79">
        <f>+IF('Income and Tax'!F31="","",'Income and Tax'!F31)</f>
        <v>37400</v>
      </c>
      <c r="D23" s="80">
        <f>'Income and Tax'!F$27+'Income and Tax'!F$29</f>
        <v>8600</v>
      </c>
      <c r="E23" s="81"/>
      <c r="F23" s="79">
        <f>+IF('Income and Tax'!L31="","",'Income and Tax'!L31)</f>
        <v>37513.308624999998</v>
      </c>
      <c r="G23" s="79">
        <f>+IF('Income and Tax'!L33="","",'Income and Tax'!L33)</f>
        <v>0</v>
      </c>
      <c r="H23" s="79">
        <f>+IF('Income and Tax'!L35="","",'Income and Tax'!L35)</f>
        <v>584.41499999999996</v>
      </c>
      <c r="I23" s="79">
        <f t="shared" si="0"/>
        <v>38097.723624999999</v>
      </c>
      <c r="J23" s="80">
        <f>+IF('Income and Tax'!L40="","",'Income and Tax'!L40)</f>
        <v>6712.2763749999995</v>
      </c>
    </row>
    <row r="24" spans="1:17" s="63" customFormat="1" ht="18" x14ac:dyDescent="0.25">
      <c r="A24" s="78" t="s">
        <v>4</v>
      </c>
      <c r="C24" s="79">
        <f>+IF('Income and Tax'!G31="","",'Income and Tax'!G31)</f>
        <v>36900</v>
      </c>
      <c r="D24" s="80">
        <f>'Income and Tax'!G$27+'Income and Tax'!G$29</f>
        <v>9100</v>
      </c>
      <c r="E24" s="81"/>
      <c r="F24" s="79">
        <f>+IF('Income and Tax'!M31="","",'Income and Tax'!M31)</f>
        <v>37588.945875000005</v>
      </c>
      <c r="G24" s="79">
        <f>+IF('Income and Tax'!M33="","",'Income and Tax'!M33)</f>
        <v>0</v>
      </c>
      <c r="H24" s="79">
        <f>+IF('Income and Tax'!M35="","",'Income and Tax'!M35)</f>
        <v>598.84500000000025</v>
      </c>
      <c r="I24" s="79">
        <f t="shared" si="0"/>
        <v>38187.790875000006</v>
      </c>
      <c r="J24" s="80">
        <f>+IF('Income and Tax'!M40="","",'Income and Tax'!M40)</f>
        <v>6622.2091250000003</v>
      </c>
      <c r="K24" s="73" t="str">
        <f>+IF('Income and Tax'!I38="","",'Income and Tax'!I38)</f>
        <v/>
      </c>
      <c r="L24" s="73" t="str">
        <f>+IF('Income and Tax'!J38="","",'Income and Tax'!J38)</f>
        <v/>
      </c>
      <c r="M24" s="73" t="str">
        <f>+IF('Income and Tax'!K38="","",'Income and Tax'!K38)</f>
        <v/>
      </c>
      <c r="N24" s="73" t="str">
        <f>+IF('Income and Tax'!L38="","",'Income and Tax'!L38)</f>
        <v/>
      </c>
      <c r="O24" s="73" t="str">
        <f>+IF('Income and Tax'!M38="","",'Income and Tax'!M38)</f>
        <v/>
      </c>
    </row>
    <row r="25" spans="1:17" s="63" customFormat="1" ht="18" x14ac:dyDescent="0.25">
      <c r="A25" s="78"/>
      <c r="C25" s="79"/>
      <c r="D25" s="80"/>
      <c r="E25" s="81"/>
      <c r="F25" s="79"/>
      <c r="G25" s="79"/>
      <c r="H25" s="79"/>
      <c r="I25" s="79"/>
      <c r="J25" s="80"/>
      <c r="K25" s="73"/>
      <c r="L25" s="73"/>
      <c r="M25" s="73"/>
      <c r="N25" s="73"/>
      <c r="O25" s="73"/>
    </row>
    <row r="26" spans="1:17" s="63" customFormat="1" ht="38.25" customHeight="1" x14ac:dyDescent="0.25">
      <c r="A26" s="127" t="s">
        <v>140</v>
      </c>
      <c r="B26" s="128"/>
      <c r="C26" s="128"/>
      <c r="D26" s="128"/>
      <c r="K26" s="73" t="str">
        <f>+IF('Income and Tax'!I39="","",'Income and Tax'!I39)</f>
        <v/>
      </c>
      <c r="L26" s="73" t="str">
        <f>+IF('Income and Tax'!J39="","",'Income and Tax'!J39)</f>
        <v/>
      </c>
      <c r="M26" s="73" t="str">
        <f>+IF('Income and Tax'!K39="","",'Income and Tax'!K39)</f>
        <v/>
      </c>
      <c r="N26" s="73" t="str">
        <f>+IF('Income and Tax'!L39="","",'Income and Tax'!L39)</f>
        <v/>
      </c>
      <c r="O26" s="73" t="str">
        <f>+IF('Income and Tax'!M39="","",'Income and Tax'!M39)</f>
        <v/>
      </c>
    </row>
    <row r="27" spans="1:17" s="63" customFormat="1" x14ac:dyDescent="0.2">
      <c r="A27" s="127" t="s">
        <v>106</v>
      </c>
      <c r="B27" s="128"/>
      <c r="C27" s="128"/>
      <c r="D27" s="128"/>
    </row>
    <row r="28" spans="1:17" ht="18" x14ac:dyDescent="0.25">
      <c r="A28" s="128"/>
      <c r="B28" s="128"/>
      <c r="C28" s="128"/>
      <c r="D28" s="128"/>
      <c r="K28" s="10" t="str">
        <f>+IF('Income and Tax'!I41="","",'Income and Tax'!I41)</f>
        <v/>
      </c>
      <c r="L28" s="10" t="str">
        <f>+IF('Income and Tax'!J41="","",'Income and Tax'!J41)</f>
        <v/>
      </c>
      <c r="M28" s="10" t="str">
        <f>+IF('Income and Tax'!K41="","",'Income and Tax'!K41)</f>
        <v/>
      </c>
      <c r="N28" s="10" t="str">
        <f>+IF('Income and Tax'!L41="","",'Income and Tax'!L41)</f>
        <v/>
      </c>
      <c r="O28" s="10" t="str">
        <f>+IF('Income and Tax'!M41="","",'Income and Tax'!M41)</f>
        <v/>
      </c>
    </row>
    <row r="29" spans="1:17" ht="18" x14ac:dyDescent="0.25">
      <c r="A29" s="128"/>
      <c r="B29" s="128"/>
      <c r="C29" s="128"/>
      <c r="D29" s="128"/>
      <c r="H29" s="82"/>
      <c r="I29" s="83" t="s">
        <v>105</v>
      </c>
      <c r="J29" s="84" t="s">
        <v>219</v>
      </c>
      <c r="K29" s="10" t="str">
        <f>+IF('Income and Tax'!I42="","",'Income and Tax'!I42)</f>
        <v/>
      </c>
      <c r="L29" s="10" t="str">
        <f>+IF('Income and Tax'!J42="","",'Income and Tax'!J42)</f>
        <v/>
      </c>
      <c r="M29" s="10" t="str">
        <f>+IF('Income and Tax'!K42="","",'Income and Tax'!K42)</f>
        <v/>
      </c>
      <c r="N29" s="10" t="str">
        <f>+IF('Income and Tax'!L42="","",'Income and Tax'!L42)</f>
        <v/>
      </c>
      <c r="O29" s="10" t="str">
        <f>+IF('Income and Tax'!M42="","",'Income and Tax'!M42)</f>
        <v/>
      </c>
    </row>
    <row r="30" spans="1:17" x14ac:dyDescent="0.2">
      <c r="H30" s="82"/>
      <c r="I30" s="82"/>
      <c r="J30" s="82"/>
    </row>
  </sheetData>
  <sheetProtection algorithmName="SHA-512" hashValue="a8UfVIFfyuR/lKxF0g0voBsywDf3woMdsKe2sbkXeENWRsicbfvSfK1nBST9jrd88kXRJPVGs9JH0/uVEb1s1w==" saltValue="C3dvmEx2/MioBYJiFk1gbw==" spinCount="100000" sheet="1" objects="1" scenarios="1"/>
  <mergeCells count="4">
    <mergeCell ref="F18:J18"/>
    <mergeCell ref="C18:D18"/>
    <mergeCell ref="A27:D29"/>
    <mergeCell ref="A26:D26"/>
  </mergeCells>
  <pageMargins left="0.7" right="0.7" top="0.75" bottom="0.75" header="0.3" footer="0.3"/>
  <pageSetup paperSize="9" scale="78" orientation="landscape" verticalDpi="0" r:id="rId1"/>
  <headerFooter>
    <oddHeader>&amp;C&amp;"Lucida Sans,Bold"&amp;20&amp;UIncome &amp; Tax Summary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selection activeCell="H45" sqref="H45"/>
    </sheetView>
  </sheetViews>
  <sheetFormatPr defaultRowHeight="12.75" x14ac:dyDescent="0.2"/>
  <cols>
    <col min="1" max="1" width="40" customWidth="1"/>
    <col min="2" max="2" width="10.25" customWidth="1"/>
    <col min="3" max="3" width="10.375" bestFit="1" customWidth="1"/>
    <col min="7" max="7" width="3.375" customWidth="1"/>
  </cols>
  <sheetData>
    <row r="1" spans="1:6" ht="19.5" x14ac:dyDescent="0.25">
      <c r="A1" s="9" t="s">
        <v>7</v>
      </c>
      <c r="B1" s="7"/>
    </row>
    <row r="2" spans="1:6" ht="19.5" x14ac:dyDescent="0.25">
      <c r="A2" s="9"/>
      <c r="B2" s="7"/>
    </row>
    <row r="3" spans="1:6" x14ac:dyDescent="0.2">
      <c r="A3" s="7"/>
      <c r="B3" s="8" t="s">
        <v>17</v>
      </c>
      <c r="C3" s="4" t="s">
        <v>1</v>
      </c>
      <c r="D3" s="4" t="str">
        <f>D8</f>
        <v>2018/19</v>
      </c>
      <c r="E3" s="4" t="str">
        <f t="shared" ref="E3:F3" si="0">E8</f>
        <v>2019/20</v>
      </c>
      <c r="F3" s="4" t="str">
        <f t="shared" si="0"/>
        <v>2020/21</v>
      </c>
    </row>
    <row r="4" spans="1:6" x14ac:dyDescent="0.2">
      <c r="A4" s="7" t="s">
        <v>40</v>
      </c>
      <c r="B4" s="7"/>
      <c r="C4" s="6">
        <v>2.5000000000000001E-2</v>
      </c>
      <c r="D4" s="6">
        <v>2.5000000000000001E-2</v>
      </c>
      <c r="E4" s="6">
        <v>0.03</v>
      </c>
      <c r="F4" s="6">
        <v>0.03</v>
      </c>
    </row>
    <row r="5" spans="1:6" x14ac:dyDescent="0.2">
      <c r="A5" s="11" t="s">
        <v>66</v>
      </c>
      <c r="B5" s="86" t="s">
        <v>45</v>
      </c>
    </row>
    <row r="7" spans="1:6" x14ac:dyDescent="0.2">
      <c r="A7" t="s">
        <v>41</v>
      </c>
      <c r="C7" s="1">
        <f>+IF($B5="y",C4,0)</f>
        <v>0</v>
      </c>
      <c r="D7" s="1">
        <f>+IF($B5="y",D4,0)</f>
        <v>0</v>
      </c>
      <c r="E7" s="1">
        <f t="shared" ref="E7:F7" si="1">+IF($B5="y",E4,0)</f>
        <v>0</v>
      </c>
      <c r="F7" s="1">
        <f t="shared" si="1"/>
        <v>0</v>
      </c>
    </row>
    <row r="8" spans="1:6" x14ac:dyDescent="0.2">
      <c r="A8" s="3" t="s">
        <v>0</v>
      </c>
      <c r="B8" s="4" t="s">
        <v>17</v>
      </c>
      <c r="C8" s="4" t="s">
        <v>1</v>
      </c>
      <c r="D8" s="4" t="s">
        <v>2</v>
      </c>
      <c r="E8" s="4" t="s">
        <v>3</v>
      </c>
      <c r="F8" s="4" t="s">
        <v>4</v>
      </c>
    </row>
    <row r="9" spans="1:6" x14ac:dyDescent="0.2">
      <c r="A9" s="97">
        <v>0</v>
      </c>
      <c r="B9" s="98">
        <v>11000</v>
      </c>
      <c r="C9" s="98">
        <v>11500</v>
      </c>
      <c r="D9" s="68">
        <f>(1+D$7)*C9</f>
        <v>11500</v>
      </c>
      <c r="E9" s="68">
        <f t="shared" ref="E9:F9" si="2">(1+E$7)*D9</f>
        <v>11500</v>
      </c>
      <c r="F9" s="68">
        <f t="shared" si="2"/>
        <v>11500</v>
      </c>
    </row>
    <row r="10" spans="1:6" x14ac:dyDescent="0.2">
      <c r="A10" s="97">
        <v>0.2</v>
      </c>
      <c r="B10" s="98">
        <v>32000</v>
      </c>
      <c r="C10" s="98">
        <v>33500</v>
      </c>
      <c r="D10" s="68">
        <f>(1+D$7)*C10</f>
        <v>33500</v>
      </c>
      <c r="E10" s="68">
        <f t="shared" ref="E10:F10" si="3">(1+E$7)*D10</f>
        <v>33500</v>
      </c>
      <c r="F10" s="68">
        <f t="shared" si="3"/>
        <v>33500</v>
      </c>
    </row>
    <row r="11" spans="1:6" x14ac:dyDescent="0.2">
      <c r="A11" s="97">
        <v>0.4</v>
      </c>
      <c r="B11" s="98">
        <f>150000-B10</f>
        <v>118000</v>
      </c>
      <c r="C11" s="98">
        <f t="shared" ref="C11:F11" si="4">150000-C10</f>
        <v>116500</v>
      </c>
      <c r="D11" s="68">
        <f t="shared" si="4"/>
        <v>116500</v>
      </c>
      <c r="E11" s="68">
        <f t="shared" si="4"/>
        <v>116500</v>
      </c>
      <c r="F11" s="68">
        <f t="shared" si="4"/>
        <v>116500</v>
      </c>
    </row>
    <row r="12" spans="1:6" x14ac:dyDescent="0.2">
      <c r="A12" s="97">
        <v>0.45</v>
      </c>
      <c r="B12" s="68"/>
      <c r="C12" s="68"/>
      <c r="D12" s="68"/>
      <c r="E12" s="68"/>
      <c r="F12" s="68"/>
    </row>
    <row r="13" spans="1:6" x14ac:dyDescent="0.2">
      <c r="A13" s="2" t="s">
        <v>30</v>
      </c>
      <c r="B13" s="98">
        <v>100000</v>
      </c>
      <c r="C13" s="98">
        <v>100000</v>
      </c>
      <c r="D13" s="68">
        <v>100000</v>
      </c>
      <c r="E13" s="68">
        <v>100000</v>
      </c>
      <c r="F13" s="68">
        <v>100000</v>
      </c>
    </row>
    <row r="14" spans="1:6" x14ac:dyDescent="0.2">
      <c r="A14" s="2" t="s">
        <v>31</v>
      </c>
      <c r="B14" s="98">
        <f>B13+B9/B15</f>
        <v>122000</v>
      </c>
      <c r="C14" s="98">
        <f t="shared" ref="C14:F14" si="5">C13+C9/C15</f>
        <v>123000</v>
      </c>
      <c r="D14" s="68">
        <f t="shared" si="5"/>
        <v>123000</v>
      </c>
      <c r="E14" s="68">
        <f t="shared" si="5"/>
        <v>123000</v>
      </c>
      <c r="F14" s="68">
        <f t="shared" si="5"/>
        <v>123000</v>
      </c>
    </row>
    <row r="15" spans="1:6" x14ac:dyDescent="0.2">
      <c r="A15" s="2" t="s">
        <v>46</v>
      </c>
      <c r="B15" s="99">
        <v>0.5</v>
      </c>
      <c r="C15" s="99">
        <f>B15</f>
        <v>0.5</v>
      </c>
      <c r="D15" s="97">
        <f t="shared" ref="D15:F15" si="6">C15</f>
        <v>0.5</v>
      </c>
      <c r="E15" s="97">
        <f t="shared" si="6"/>
        <v>0.5</v>
      </c>
      <c r="F15" s="97">
        <f t="shared" si="6"/>
        <v>0.5</v>
      </c>
    </row>
    <row r="16" spans="1:6" x14ac:dyDescent="0.2">
      <c r="A16" s="2" t="s">
        <v>16</v>
      </c>
      <c r="B16" s="97"/>
      <c r="C16" s="99">
        <v>0.25</v>
      </c>
      <c r="D16" s="99">
        <v>0.5</v>
      </c>
      <c r="E16" s="99">
        <v>0.75</v>
      </c>
      <c r="F16" s="99">
        <v>1</v>
      </c>
    </row>
    <row r="17" spans="1:6" x14ac:dyDescent="0.2">
      <c r="B17" s="54"/>
      <c r="C17" s="54"/>
      <c r="D17" s="54"/>
      <c r="E17" s="54"/>
      <c r="F17" s="54"/>
    </row>
    <row r="18" spans="1:6" x14ac:dyDescent="0.2">
      <c r="A18" s="93" t="s">
        <v>125</v>
      </c>
      <c r="B18" s="54"/>
      <c r="C18" s="54"/>
      <c r="D18" s="54"/>
      <c r="E18" s="54"/>
      <c r="F18" s="54"/>
    </row>
    <row r="19" spans="1:6" x14ac:dyDescent="0.2">
      <c r="A19" s="97">
        <v>0</v>
      </c>
      <c r="B19" s="98">
        <v>8140</v>
      </c>
      <c r="C19" s="98">
        <f>(1+C$7)*B19</f>
        <v>8140</v>
      </c>
      <c r="D19" s="68">
        <f>(1+D$7)*C19</f>
        <v>8140</v>
      </c>
      <c r="E19" s="68">
        <f t="shared" ref="E19:F19" si="7">(1+E$7)*D19</f>
        <v>8140</v>
      </c>
      <c r="F19" s="68">
        <f t="shared" si="7"/>
        <v>8140</v>
      </c>
    </row>
    <row r="20" spans="1:6" x14ac:dyDescent="0.2">
      <c r="A20" s="97">
        <v>0.12</v>
      </c>
      <c r="B20" s="98">
        <f>B9+B10</f>
        <v>43000</v>
      </c>
      <c r="C20" s="98">
        <f t="shared" ref="C20:F20" si="8">C9+C10</f>
        <v>45000</v>
      </c>
      <c r="D20" s="68">
        <f t="shared" si="8"/>
        <v>45000</v>
      </c>
      <c r="E20" s="68">
        <f t="shared" si="8"/>
        <v>45000</v>
      </c>
      <c r="F20" s="68">
        <f t="shared" si="8"/>
        <v>45000</v>
      </c>
    </row>
    <row r="21" spans="1:6" x14ac:dyDescent="0.2">
      <c r="A21" s="97">
        <v>0.02</v>
      </c>
      <c r="B21" s="54" t="s">
        <v>128</v>
      </c>
      <c r="C21" s="54"/>
      <c r="D21" s="54"/>
      <c r="E21" s="54"/>
      <c r="F21" s="54"/>
    </row>
    <row r="22" spans="1:6" x14ac:dyDescent="0.2">
      <c r="A22" t="s">
        <v>126</v>
      </c>
      <c r="B22" s="102">
        <v>0.13800000000000001</v>
      </c>
      <c r="C22" s="54" t="s">
        <v>129</v>
      </c>
      <c r="D22" s="54"/>
      <c r="E22" s="54"/>
      <c r="F22" s="54"/>
    </row>
    <row r="23" spans="1:6" x14ac:dyDescent="0.2">
      <c r="A23" t="s">
        <v>216</v>
      </c>
      <c r="B23" s="102">
        <v>0.09</v>
      </c>
      <c r="C23" s="102">
        <v>0.09</v>
      </c>
      <c r="D23" s="102">
        <v>0.1</v>
      </c>
      <c r="E23" s="102">
        <v>0.11</v>
      </c>
      <c r="F23" s="102">
        <v>0.11</v>
      </c>
    </row>
    <row r="24" spans="1:6" x14ac:dyDescent="0.2">
      <c r="B24" s="100"/>
      <c r="C24" s="54"/>
      <c r="D24" s="54"/>
      <c r="E24" s="54"/>
      <c r="F24" s="54"/>
    </row>
    <row r="25" spans="1:6" x14ac:dyDescent="0.2">
      <c r="B25" s="101" t="str">
        <f>B8</f>
        <v>2016/17</v>
      </c>
      <c r="C25" s="101" t="str">
        <f>C8</f>
        <v>2017/18</v>
      </c>
      <c r="D25" s="101" t="str">
        <f>D8</f>
        <v>2018/19</v>
      </c>
      <c r="E25" s="101" t="str">
        <f>E8</f>
        <v>2019/20</v>
      </c>
      <c r="F25" s="101" t="str">
        <f>F8</f>
        <v>2020/21</v>
      </c>
    </row>
    <row r="26" spans="1:6" x14ac:dyDescent="0.2">
      <c r="A26" s="31" t="s">
        <v>5</v>
      </c>
      <c r="B26" s="99">
        <v>0.2</v>
      </c>
      <c r="C26" s="99">
        <v>0.19</v>
      </c>
      <c r="D26" s="99">
        <f>C26</f>
        <v>0.19</v>
      </c>
      <c r="E26" s="99">
        <f t="shared" ref="E26" si="9">D26</f>
        <v>0.19</v>
      </c>
      <c r="F26" s="99">
        <v>0.17</v>
      </c>
    </row>
    <row r="27" spans="1:6" x14ac:dyDescent="0.2">
      <c r="A27" t="s">
        <v>8</v>
      </c>
      <c r="B27" s="54"/>
      <c r="C27" s="54"/>
      <c r="D27" s="54"/>
      <c r="E27" s="54"/>
      <c r="F27" s="54"/>
    </row>
    <row r="28" spans="1:6" x14ac:dyDescent="0.2">
      <c r="A28" s="97">
        <f>A9</f>
        <v>0</v>
      </c>
      <c r="B28" s="97"/>
      <c r="C28" s="54"/>
      <c r="D28" s="54"/>
      <c r="E28" s="54"/>
      <c r="F28" s="54"/>
    </row>
    <row r="29" spans="1:6" x14ac:dyDescent="0.2">
      <c r="A29" s="97">
        <f>A10</f>
        <v>0.2</v>
      </c>
      <c r="B29" s="102">
        <v>7.4999999999999997E-2</v>
      </c>
      <c r="C29" s="102">
        <f>B29</f>
        <v>7.4999999999999997E-2</v>
      </c>
      <c r="D29" s="100">
        <f t="shared" ref="D29:F29" si="10">C29</f>
        <v>7.4999999999999997E-2</v>
      </c>
      <c r="E29" s="100">
        <f t="shared" si="10"/>
        <v>7.4999999999999997E-2</v>
      </c>
      <c r="F29" s="100">
        <f t="shared" si="10"/>
        <v>7.4999999999999997E-2</v>
      </c>
    </row>
    <row r="30" spans="1:6" x14ac:dyDescent="0.2">
      <c r="A30" s="97">
        <f>A11</f>
        <v>0.4</v>
      </c>
      <c r="B30" s="102">
        <v>0.32500000000000001</v>
      </c>
      <c r="C30" s="102">
        <f t="shared" ref="C30:F31" si="11">B30</f>
        <v>0.32500000000000001</v>
      </c>
      <c r="D30" s="100">
        <f t="shared" si="11"/>
        <v>0.32500000000000001</v>
      </c>
      <c r="E30" s="100">
        <f t="shared" si="11"/>
        <v>0.32500000000000001</v>
      </c>
      <c r="F30" s="100">
        <f t="shared" si="11"/>
        <v>0.32500000000000001</v>
      </c>
    </row>
    <row r="31" spans="1:6" x14ac:dyDescent="0.2">
      <c r="A31" s="97">
        <f>A12</f>
        <v>0.45</v>
      </c>
      <c r="B31" s="102">
        <v>0.38100000000000001</v>
      </c>
      <c r="C31" s="102">
        <f t="shared" si="11"/>
        <v>0.38100000000000001</v>
      </c>
      <c r="D31" s="100">
        <f t="shared" si="11"/>
        <v>0.38100000000000001</v>
      </c>
      <c r="E31" s="100">
        <f t="shared" si="11"/>
        <v>0.38100000000000001</v>
      </c>
      <c r="F31" s="100">
        <f t="shared" si="11"/>
        <v>0.38100000000000001</v>
      </c>
    </row>
    <row r="32" spans="1:6" x14ac:dyDescent="0.2">
      <c r="A32" s="3" t="s">
        <v>6</v>
      </c>
      <c r="B32" s="103">
        <v>5000</v>
      </c>
      <c r="C32" s="103">
        <v>5000</v>
      </c>
      <c r="D32" s="103">
        <v>2000</v>
      </c>
      <c r="E32" s="103">
        <v>2000</v>
      </c>
      <c r="F32">
        <v>2000</v>
      </c>
    </row>
    <row r="33" spans="1:6" x14ac:dyDescent="0.2">
      <c r="B33" s="54"/>
      <c r="C33" s="54"/>
      <c r="D33" s="54"/>
      <c r="E33" s="54"/>
      <c r="F33" s="54"/>
    </row>
    <row r="34" spans="1:6" x14ac:dyDescent="0.2">
      <c r="A34" t="s">
        <v>48</v>
      </c>
      <c r="B34" s="54"/>
      <c r="C34" s="54"/>
      <c r="D34" s="54"/>
      <c r="E34" s="54"/>
      <c r="F34" s="54"/>
    </row>
    <row r="35" spans="1:6" x14ac:dyDescent="0.2">
      <c r="A35" s="54">
        <v>125000</v>
      </c>
      <c r="B35" s="99">
        <v>0</v>
      </c>
      <c r="C35" s="54"/>
      <c r="D35" s="54"/>
      <c r="E35" s="54"/>
      <c r="F35" s="54"/>
    </row>
    <row r="36" spans="1:6" x14ac:dyDescent="0.2">
      <c r="A36" s="54">
        <v>250000</v>
      </c>
      <c r="B36" s="99">
        <v>0.02</v>
      </c>
      <c r="C36" s="54"/>
      <c r="D36" s="54"/>
      <c r="E36" s="54"/>
      <c r="F36" s="54"/>
    </row>
    <row r="37" spans="1:6" x14ac:dyDescent="0.2">
      <c r="A37" s="54">
        <v>925000</v>
      </c>
      <c r="B37" s="99">
        <v>0.05</v>
      </c>
      <c r="C37" s="54"/>
      <c r="D37" s="54"/>
      <c r="E37" s="54"/>
      <c r="F37" s="54"/>
    </row>
    <row r="38" spans="1:6" x14ac:dyDescent="0.2">
      <c r="A38" s="54">
        <v>1500000</v>
      </c>
      <c r="B38" s="99">
        <v>0.1</v>
      </c>
      <c r="C38" s="54"/>
      <c r="D38" s="54"/>
      <c r="E38" s="54"/>
      <c r="F38" s="54"/>
    </row>
    <row r="39" spans="1:6" x14ac:dyDescent="0.2">
      <c r="A39" t="s">
        <v>49</v>
      </c>
      <c r="B39" s="99">
        <v>0.12</v>
      </c>
      <c r="C39" s="54"/>
      <c r="D39" s="54"/>
      <c r="E39" s="54"/>
      <c r="F39" s="54"/>
    </row>
    <row r="40" spans="1:6" x14ac:dyDescent="0.2">
      <c r="A40" t="s">
        <v>80</v>
      </c>
      <c r="B40" s="99">
        <v>0.01</v>
      </c>
      <c r="C40" s="54"/>
      <c r="D40" s="54"/>
      <c r="E40" s="54"/>
      <c r="F40" s="54"/>
    </row>
    <row r="41" spans="1:6" s="63" customFormat="1" x14ac:dyDescent="0.2">
      <c r="A41" s="63" t="s">
        <v>178</v>
      </c>
      <c r="B41" s="107">
        <v>0.03</v>
      </c>
      <c r="C41" s="63" t="s">
        <v>179</v>
      </c>
      <c r="D41" s="108">
        <v>42461</v>
      </c>
    </row>
    <row r="42" spans="1:6" s="63" customFormat="1" x14ac:dyDescent="0.2">
      <c r="A42" s="63" t="s">
        <v>181</v>
      </c>
      <c r="B42" s="109">
        <v>40000</v>
      </c>
    </row>
    <row r="43" spans="1:6" s="63" customFormat="1" x14ac:dyDescent="0.2"/>
    <row r="44" spans="1:6" s="63" customFormat="1" x14ac:dyDescent="0.2">
      <c r="A44" s="63" t="s">
        <v>183</v>
      </c>
    </row>
    <row r="45" spans="1:6" s="63" customFormat="1" x14ac:dyDescent="0.2">
      <c r="A45" s="63">
        <v>150000</v>
      </c>
      <c r="B45" s="107">
        <v>0</v>
      </c>
    </row>
    <row r="46" spans="1:6" s="63" customFormat="1" x14ac:dyDescent="0.2">
      <c r="A46" s="63">
        <v>250000</v>
      </c>
      <c r="B46" s="107">
        <v>0.02</v>
      </c>
    </row>
    <row r="47" spans="1:6" s="63" customFormat="1" x14ac:dyDescent="0.2">
      <c r="A47" s="78" t="s">
        <v>184</v>
      </c>
      <c r="B47" s="107">
        <v>0.04</v>
      </c>
    </row>
    <row r="48" spans="1:6" s="63" customFormat="1" ht="14.25" customHeight="1" x14ac:dyDescent="0.2">
      <c r="A48" s="78" t="s">
        <v>185</v>
      </c>
      <c r="B48" s="112">
        <v>6</v>
      </c>
      <c r="C48" s="63" t="s">
        <v>186</v>
      </c>
    </row>
    <row r="49" spans="1:6" x14ac:dyDescent="0.2">
      <c r="B49" s="54"/>
      <c r="C49" s="54"/>
      <c r="D49" s="54"/>
      <c r="E49" s="54"/>
      <c r="F49" s="54"/>
    </row>
    <row r="50" spans="1:6" x14ac:dyDescent="0.2">
      <c r="A50" t="s">
        <v>62</v>
      </c>
      <c r="B50" s="88">
        <v>100</v>
      </c>
      <c r="C50" s="54"/>
      <c r="D50" s="54"/>
      <c r="E50" s="54"/>
      <c r="F50" s="54"/>
    </row>
    <row r="51" spans="1:6" x14ac:dyDescent="0.2">
      <c r="A51" t="s">
        <v>63</v>
      </c>
      <c r="B51" s="87">
        <v>1E-3</v>
      </c>
      <c r="C51" s="54" t="s">
        <v>55</v>
      </c>
      <c r="D51" s="88">
        <v>500</v>
      </c>
      <c r="E51" s="54"/>
      <c r="F51" s="54"/>
    </row>
    <row r="52" spans="1:6" x14ac:dyDescent="0.2">
      <c r="B52" s="54"/>
      <c r="C52" s="54"/>
      <c r="D52" s="54"/>
      <c r="E52" s="54"/>
      <c r="F52" s="54"/>
    </row>
    <row r="53" spans="1:6" x14ac:dyDescent="0.2">
      <c r="A53" t="s">
        <v>14</v>
      </c>
      <c r="B53" s="87">
        <v>2.5000000000000001E-3</v>
      </c>
      <c r="C53" s="122" t="s">
        <v>220</v>
      </c>
      <c r="E53" s="54"/>
      <c r="F53" s="87">
        <v>2.5000000000000001E-2</v>
      </c>
    </row>
    <row r="54" spans="1:6" x14ac:dyDescent="0.2">
      <c r="A54" t="s">
        <v>65</v>
      </c>
      <c r="B54" s="54"/>
      <c r="C54" s="89">
        <v>100</v>
      </c>
      <c r="D54" s="54" t="s">
        <v>15</v>
      </c>
      <c r="E54" s="90">
        <v>0.5</v>
      </c>
      <c r="F54" s="54" t="s">
        <v>47</v>
      </c>
    </row>
    <row r="55" spans="1:6" x14ac:dyDescent="0.2">
      <c r="B55" s="54"/>
      <c r="C55" s="54"/>
      <c r="D55" s="54"/>
      <c r="E55" s="54"/>
      <c r="F55" s="54"/>
    </row>
    <row r="56" spans="1:6" x14ac:dyDescent="0.2">
      <c r="B56" s="54"/>
      <c r="C56" s="54"/>
      <c r="D56" s="54"/>
      <c r="E56" s="54"/>
      <c r="F56" s="54"/>
    </row>
    <row r="57" spans="1:6" x14ac:dyDescent="0.2">
      <c r="A57" s="20" t="s">
        <v>43</v>
      </c>
      <c r="B57" s="54"/>
      <c r="C57" s="54"/>
      <c r="D57" s="54"/>
      <c r="E57" s="54"/>
      <c r="F57" s="54"/>
    </row>
    <row r="58" spans="1:6" x14ac:dyDescent="0.2">
      <c r="B58" s="54"/>
      <c r="C58" s="54"/>
      <c r="D58" s="54"/>
      <c r="E58" s="54"/>
      <c r="F58" s="54"/>
    </row>
  </sheetData>
  <sheetProtection algorithmName="SHA-512" hashValue="Mi79rO46/31t1kGeWUdNDvom9Ipoc/iUNiVzNDO4mdpGZi/BLkjb419LajEW+wX6kjIj2ibqhG1LTGlMNucVSw==" saltValue="o9g7EHIZjU3KX88lz+n66Q==" spinCount="100000" sheet="1" objects="1" scenarios="1"/>
  <pageMargins left="0.7" right="0.7" top="0.75" bottom="0.75" header="0.3" footer="0.3"/>
  <pageSetup paperSize="9" scale="8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9"/>
  <sheetViews>
    <sheetView workbookViewId="0">
      <selection activeCell="F10" sqref="F10"/>
    </sheetView>
  </sheetViews>
  <sheetFormatPr defaultRowHeight="12.75" x14ac:dyDescent="0.2"/>
  <cols>
    <col min="1" max="1" width="19.75" customWidth="1"/>
    <col min="2" max="2" width="15.875" customWidth="1"/>
    <col min="3" max="3" width="18.625" customWidth="1"/>
    <col min="4" max="4" width="16.25" customWidth="1"/>
    <col min="5" max="5" width="12.625" customWidth="1"/>
  </cols>
  <sheetData>
    <row r="1" spans="1:4" ht="19.5" x14ac:dyDescent="0.25">
      <c r="A1" s="9" t="s">
        <v>50</v>
      </c>
    </row>
    <row r="2" spans="1:4" x14ac:dyDescent="0.2">
      <c r="B2" t="s">
        <v>53</v>
      </c>
      <c r="C2" s="22">
        <f>D25</f>
        <v>24400</v>
      </c>
    </row>
    <row r="3" spans="1:4" x14ac:dyDescent="0.2">
      <c r="B3" t="s">
        <v>54</v>
      </c>
      <c r="C3" s="22">
        <f>SUM(D28:D66)</f>
        <v>2500</v>
      </c>
    </row>
    <row r="4" spans="1:4" x14ac:dyDescent="0.2">
      <c r="B4" t="s">
        <v>56</v>
      </c>
      <c r="C4" s="22">
        <f>Legislation!B50</f>
        <v>100</v>
      </c>
    </row>
    <row r="5" spans="1:4" s="7" customFormat="1" x14ac:dyDescent="0.2">
      <c r="B5" s="7" t="s">
        <v>57</v>
      </c>
      <c r="C5" s="23">
        <f>SUM(C2:C4)</f>
        <v>27000</v>
      </c>
    </row>
    <row r="6" spans="1:4" s="7" customFormat="1" x14ac:dyDescent="0.2">
      <c r="C6" s="23"/>
    </row>
    <row r="7" spans="1:4" s="7" customFormat="1" x14ac:dyDescent="0.2">
      <c r="A7" s="12" t="s">
        <v>180</v>
      </c>
      <c r="C7" s="23"/>
      <c r="D7" s="110">
        <v>42461</v>
      </c>
    </row>
    <row r="8" spans="1:4" x14ac:dyDescent="0.2">
      <c r="C8" s="22"/>
    </row>
    <row r="9" spans="1:4" x14ac:dyDescent="0.2">
      <c r="A9" t="s">
        <v>182</v>
      </c>
    </row>
    <row r="10" spans="1:4" x14ac:dyDescent="0.2">
      <c r="A10" t="s">
        <v>59</v>
      </c>
    </row>
    <row r="11" spans="1:4" x14ac:dyDescent="0.2">
      <c r="A11" t="s">
        <v>60</v>
      </c>
    </row>
    <row r="12" spans="1:4" x14ac:dyDescent="0.2">
      <c r="A12" t="s">
        <v>58</v>
      </c>
    </row>
    <row r="14" spans="1:4" x14ac:dyDescent="0.2">
      <c r="A14" s="7" t="s">
        <v>197</v>
      </c>
    </row>
    <row r="15" spans="1:4" x14ac:dyDescent="0.2">
      <c r="A15" s="7" t="s">
        <v>198</v>
      </c>
    </row>
    <row r="16" spans="1:4" x14ac:dyDescent="0.2">
      <c r="A16" s="7" t="s">
        <v>199</v>
      </c>
    </row>
    <row r="17" spans="1:5" x14ac:dyDescent="0.2">
      <c r="A17" s="7"/>
    </row>
    <row r="18" spans="1:5" x14ac:dyDescent="0.2">
      <c r="D18" s="117" t="s">
        <v>194</v>
      </c>
      <c r="E18" s="117" t="s">
        <v>193</v>
      </c>
    </row>
    <row r="19" spans="1:5" x14ac:dyDescent="0.2">
      <c r="A19" s="7" t="s">
        <v>188</v>
      </c>
      <c r="D19" s="118">
        <f>D138</f>
        <v>24400</v>
      </c>
      <c r="E19" s="118">
        <f>+D139</f>
        <v>24400</v>
      </c>
    </row>
    <row r="20" spans="1:5" x14ac:dyDescent="0.2">
      <c r="A20" s="7" t="s">
        <v>200</v>
      </c>
      <c r="D20" s="118" t="str">
        <f>+IF($E132&lt;Legislation!$B48,"N/A",'Incorporation costs'!E138)</f>
        <v>N/A</v>
      </c>
      <c r="E20" s="118" t="str">
        <f>+IF($E$132&lt;Legislation!$B$48,"N/A",'Incorporation costs'!E139)</f>
        <v>N/A</v>
      </c>
    </row>
    <row r="21" spans="1:5" x14ac:dyDescent="0.2">
      <c r="A21" s="7"/>
      <c r="D21" s="114"/>
    </row>
    <row r="22" spans="1:5" s="26" customFormat="1" x14ac:dyDescent="0.2">
      <c r="A22" s="26" t="s">
        <v>201</v>
      </c>
      <c r="E22" s="111"/>
    </row>
    <row r="23" spans="1:5" s="26" customFormat="1" x14ac:dyDescent="0.2">
      <c r="A23" s="26" t="s">
        <v>203</v>
      </c>
      <c r="E23" s="111"/>
    </row>
    <row r="24" spans="1:5" s="26" customFormat="1" x14ac:dyDescent="0.2">
      <c r="A24" s="26" t="s">
        <v>207</v>
      </c>
      <c r="E24" s="111"/>
    </row>
    <row r="25" spans="1:5" x14ac:dyDescent="0.2">
      <c r="A25" s="26" t="s">
        <v>204</v>
      </c>
      <c r="D25" s="119">
        <f>+D142</f>
        <v>24400</v>
      </c>
    </row>
    <row r="27" spans="1:5" x14ac:dyDescent="0.2">
      <c r="A27" t="s">
        <v>51</v>
      </c>
      <c r="B27" s="24" t="s">
        <v>52</v>
      </c>
      <c r="C27" s="24" t="s">
        <v>202</v>
      </c>
      <c r="D27" s="24" t="s">
        <v>54</v>
      </c>
    </row>
    <row r="28" spans="1:5" x14ac:dyDescent="0.2">
      <c r="A28" s="54"/>
      <c r="B28" s="50">
        <v>181000</v>
      </c>
      <c r="C28" s="16">
        <f>+IF(A90=0,"",A90)</f>
        <v>6550</v>
      </c>
      <c r="D28" s="16">
        <f>+IF(B90=0,"",B90)</f>
        <v>500</v>
      </c>
      <c r="E28" s="16"/>
    </row>
    <row r="29" spans="1:5" x14ac:dyDescent="0.2">
      <c r="A29" s="54"/>
      <c r="B29" s="50">
        <v>145000</v>
      </c>
      <c r="C29" s="16">
        <f t="shared" ref="C29:D29" si="0">+IF(A91=0,"",A91)</f>
        <v>4750</v>
      </c>
      <c r="D29" s="16">
        <f t="shared" si="0"/>
        <v>500</v>
      </c>
      <c r="E29" s="16"/>
    </row>
    <row r="30" spans="1:5" x14ac:dyDescent="0.2">
      <c r="A30" s="54"/>
      <c r="B30" s="50">
        <v>139000</v>
      </c>
      <c r="C30" s="16">
        <f t="shared" ref="C30:D30" si="1">+IF(A92=0,"",A92)</f>
        <v>4450</v>
      </c>
      <c r="D30" s="16">
        <f t="shared" si="1"/>
        <v>500</v>
      </c>
      <c r="E30" s="16"/>
    </row>
    <row r="31" spans="1:5" x14ac:dyDescent="0.2">
      <c r="A31" s="54"/>
      <c r="B31" s="50">
        <v>134000</v>
      </c>
      <c r="C31" s="16">
        <f t="shared" ref="C31:D31" si="2">+IF(A93=0,"",A93)</f>
        <v>4200</v>
      </c>
      <c r="D31" s="16">
        <f t="shared" si="2"/>
        <v>500</v>
      </c>
      <c r="E31" s="16"/>
    </row>
    <row r="32" spans="1:5" x14ac:dyDescent="0.2">
      <c r="A32" s="54"/>
      <c r="B32" s="50">
        <v>139000</v>
      </c>
      <c r="C32" s="16">
        <f t="shared" ref="C32:D32" si="3">+IF(A94=0,"",A94)</f>
        <v>4450</v>
      </c>
      <c r="D32" s="16">
        <f t="shared" si="3"/>
        <v>500</v>
      </c>
      <c r="E32" s="16"/>
    </row>
    <row r="33" spans="1:5" x14ac:dyDescent="0.2">
      <c r="A33" s="54"/>
      <c r="B33" s="50"/>
      <c r="C33" s="16" t="str">
        <f t="shared" ref="C33:D33" si="4">+IF(A95=0,"",A95)</f>
        <v/>
      </c>
      <c r="D33" s="16" t="str">
        <f t="shared" si="4"/>
        <v/>
      </c>
      <c r="E33" s="16"/>
    </row>
    <row r="34" spans="1:5" x14ac:dyDescent="0.2">
      <c r="A34" s="54"/>
      <c r="B34" s="50"/>
      <c r="C34" s="16" t="str">
        <f t="shared" ref="C34:D34" si="5">+IF(A96=0,"",A96)</f>
        <v/>
      </c>
      <c r="D34" s="16" t="str">
        <f t="shared" si="5"/>
        <v/>
      </c>
      <c r="E34" s="16"/>
    </row>
    <row r="35" spans="1:5" x14ac:dyDescent="0.2">
      <c r="A35" s="54"/>
      <c r="B35" s="50"/>
      <c r="C35" s="16" t="str">
        <f t="shared" ref="C35:D35" si="6">+IF(A97=0,"",A97)</f>
        <v/>
      </c>
      <c r="D35" s="16" t="str">
        <f t="shared" si="6"/>
        <v/>
      </c>
      <c r="E35" s="16"/>
    </row>
    <row r="36" spans="1:5" x14ac:dyDescent="0.2">
      <c r="A36" s="54"/>
      <c r="B36" s="50"/>
      <c r="C36" s="16" t="str">
        <f t="shared" ref="C36:D36" si="7">+IF(A98=0,"",A98)</f>
        <v/>
      </c>
      <c r="D36" s="16" t="str">
        <f t="shared" si="7"/>
        <v/>
      </c>
      <c r="E36" s="16"/>
    </row>
    <row r="37" spans="1:5" x14ac:dyDescent="0.2">
      <c r="A37" s="54"/>
      <c r="B37" s="50"/>
      <c r="C37" s="16" t="str">
        <f t="shared" ref="C37:D37" si="8">+IF(A99=0,"",A99)</f>
        <v/>
      </c>
      <c r="D37" s="16" t="str">
        <f t="shared" si="8"/>
        <v/>
      </c>
      <c r="E37" s="16"/>
    </row>
    <row r="38" spans="1:5" x14ac:dyDescent="0.2">
      <c r="A38" s="54"/>
      <c r="B38" s="50"/>
      <c r="C38" s="16" t="str">
        <f t="shared" ref="C38:D38" si="9">+IF(A100=0,"",A100)</f>
        <v/>
      </c>
      <c r="D38" s="16" t="str">
        <f t="shared" si="9"/>
        <v/>
      </c>
      <c r="E38" s="16"/>
    </row>
    <row r="39" spans="1:5" x14ac:dyDescent="0.2">
      <c r="A39" s="54"/>
      <c r="B39" s="50"/>
      <c r="C39" s="16" t="str">
        <f t="shared" ref="C39:D39" si="10">+IF(A101=0,"",A101)</f>
        <v/>
      </c>
      <c r="D39" s="16" t="str">
        <f t="shared" si="10"/>
        <v/>
      </c>
      <c r="E39" s="16"/>
    </row>
    <row r="40" spans="1:5" x14ac:dyDescent="0.2">
      <c r="A40" s="54"/>
      <c r="B40" s="50"/>
      <c r="C40" s="16" t="str">
        <f t="shared" ref="C40:D40" si="11">+IF(A102=0,"",A102)</f>
        <v/>
      </c>
      <c r="D40" s="16" t="str">
        <f t="shared" si="11"/>
        <v/>
      </c>
      <c r="E40" s="16"/>
    </row>
    <row r="41" spans="1:5" x14ac:dyDescent="0.2">
      <c r="A41" s="54"/>
      <c r="B41" s="50"/>
      <c r="C41" s="16" t="str">
        <f t="shared" ref="C41:D41" si="12">+IF(A103=0,"",A103)</f>
        <v/>
      </c>
      <c r="D41" s="16" t="str">
        <f t="shared" si="12"/>
        <v/>
      </c>
      <c r="E41" s="16"/>
    </row>
    <row r="42" spans="1:5" x14ac:dyDescent="0.2">
      <c r="A42" s="54"/>
      <c r="B42" s="50"/>
      <c r="C42" s="16" t="str">
        <f t="shared" ref="C42:D42" si="13">+IF(A104=0,"",A104)</f>
        <v/>
      </c>
      <c r="D42" s="16" t="str">
        <f t="shared" si="13"/>
        <v/>
      </c>
      <c r="E42" s="16"/>
    </row>
    <row r="43" spans="1:5" x14ac:dyDescent="0.2">
      <c r="A43" s="54"/>
      <c r="B43" s="50"/>
      <c r="C43" s="16" t="str">
        <f t="shared" ref="C43:D43" si="14">+IF(A105=0,"",A105)</f>
        <v/>
      </c>
      <c r="D43" s="16" t="str">
        <f t="shared" si="14"/>
        <v/>
      </c>
      <c r="E43" s="16"/>
    </row>
    <row r="44" spans="1:5" x14ac:dyDescent="0.2">
      <c r="A44" s="54"/>
      <c r="B44" s="50"/>
      <c r="C44" s="16" t="str">
        <f t="shared" ref="C44:D44" si="15">+IF(A106=0,"",A106)</f>
        <v/>
      </c>
      <c r="D44" s="16" t="str">
        <f t="shared" si="15"/>
        <v/>
      </c>
      <c r="E44" s="16"/>
    </row>
    <row r="45" spans="1:5" x14ac:dyDescent="0.2">
      <c r="A45" s="54"/>
      <c r="B45" s="50"/>
      <c r="C45" s="16" t="str">
        <f t="shared" ref="C45:D45" si="16">+IF(A107=0,"",A107)</f>
        <v/>
      </c>
      <c r="D45" s="16" t="str">
        <f t="shared" si="16"/>
        <v/>
      </c>
      <c r="E45" s="16"/>
    </row>
    <row r="46" spans="1:5" x14ac:dyDescent="0.2">
      <c r="A46" s="54"/>
      <c r="B46" s="50"/>
      <c r="C46" s="16" t="str">
        <f t="shared" ref="C46:D46" si="17">+IF(A108=0,"",A108)</f>
        <v/>
      </c>
      <c r="D46" s="16" t="str">
        <f t="shared" si="17"/>
        <v/>
      </c>
      <c r="E46" s="16"/>
    </row>
    <row r="47" spans="1:5" x14ac:dyDescent="0.2">
      <c r="A47" s="54"/>
      <c r="B47" s="50"/>
      <c r="C47" s="16" t="str">
        <f t="shared" ref="C47:D47" si="18">+IF(A109=0,"",A109)</f>
        <v/>
      </c>
      <c r="D47" s="16" t="str">
        <f t="shared" si="18"/>
        <v/>
      </c>
      <c r="E47" s="16"/>
    </row>
    <row r="48" spans="1:5" x14ac:dyDescent="0.2">
      <c r="A48" s="54"/>
      <c r="B48" s="50"/>
      <c r="C48" s="16" t="str">
        <f t="shared" ref="C48:D48" si="19">+IF(A110=0,"",A110)</f>
        <v/>
      </c>
      <c r="D48" s="16" t="str">
        <f t="shared" si="19"/>
        <v/>
      </c>
      <c r="E48" s="16"/>
    </row>
    <row r="49" spans="1:5" x14ac:dyDescent="0.2">
      <c r="A49" s="54"/>
      <c r="B49" s="50"/>
      <c r="C49" s="16" t="str">
        <f t="shared" ref="C49:D49" si="20">+IF(A111=0,"",A111)</f>
        <v/>
      </c>
      <c r="D49" s="16" t="str">
        <f t="shared" si="20"/>
        <v/>
      </c>
      <c r="E49" s="16"/>
    </row>
    <row r="50" spans="1:5" x14ac:dyDescent="0.2">
      <c r="A50" s="54"/>
      <c r="B50" s="50"/>
      <c r="C50" s="16" t="str">
        <f t="shared" ref="C50:D50" si="21">+IF(A112=0,"",A112)</f>
        <v/>
      </c>
      <c r="D50" s="16" t="str">
        <f t="shared" si="21"/>
        <v/>
      </c>
      <c r="E50" s="16"/>
    </row>
    <row r="51" spans="1:5" x14ac:dyDescent="0.2">
      <c r="A51" s="54"/>
      <c r="B51" s="50"/>
      <c r="C51" s="16" t="str">
        <f t="shared" ref="C51:D51" si="22">+IF(A113=0,"",A113)</f>
        <v/>
      </c>
      <c r="D51" s="16" t="str">
        <f t="shared" si="22"/>
        <v/>
      </c>
      <c r="E51" s="16"/>
    </row>
    <row r="52" spans="1:5" x14ac:dyDescent="0.2">
      <c r="A52" s="54"/>
      <c r="B52" s="50"/>
      <c r="C52" s="16" t="str">
        <f t="shared" ref="C52:D52" si="23">+IF(A114=0,"",A114)</f>
        <v/>
      </c>
      <c r="D52" s="16" t="str">
        <f t="shared" si="23"/>
        <v/>
      </c>
      <c r="E52" s="16"/>
    </row>
    <row r="53" spans="1:5" x14ac:dyDescent="0.2">
      <c r="A53" s="54"/>
      <c r="B53" s="50"/>
      <c r="C53" s="16" t="str">
        <f t="shared" ref="C53:D53" si="24">+IF(A115=0,"",A115)</f>
        <v/>
      </c>
      <c r="D53" s="16" t="str">
        <f t="shared" si="24"/>
        <v/>
      </c>
      <c r="E53" s="16"/>
    </row>
    <row r="54" spans="1:5" x14ac:dyDescent="0.2">
      <c r="A54" s="54"/>
      <c r="B54" s="50"/>
      <c r="C54" s="16" t="str">
        <f t="shared" ref="C54:D54" si="25">+IF(A116=0,"",A116)</f>
        <v/>
      </c>
      <c r="D54" s="16" t="str">
        <f t="shared" si="25"/>
        <v/>
      </c>
      <c r="E54" s="16"/>
    </row>
    <row r="55" spans="1:5" x14ac:dyDescent="0.2">
      <c r="A55" s="54"/>
      <c r="B55" s="50"/>
      <c r="C55" s="16" t="str">
        <f t="shared" ref="C55:D55" si="26">+IF(A117=0,"",A117)</f>
        <v/>
      </c>
      <c r="D55" s="16" t="str">
        <f t="shared" si="26"/>
        <v/>
      </c>
      <c r="E55" s="16"/>
    </row>
    <row r="56" spans="1:5" x14ac:dyDescent="0.2">
      <c r="A56" s="54"/>
      <c r="B56" s="50"/>
      <c r="C56" s="16" t="str">
        <f t="shared" ref="C56:D56" si="27">+IF(A118=0,"",A118)</f>
        <v/>
      </c>
      <c r="D56" s="16" t="str">
        <f t="shared" si="27"/>
        <v/>
      </c>
      <c r="E56" s="16"/>
    </row>
    <row r="57" spans="1:5" x14ac:dyDescent="0.2">
      <c r="A57" s="54"/>
      <c r="B57" s="50"/>
      <c r="C57" s="16" t="str">
        <f t="shared" ref="C57:D57" si="28">+IF(A119=0,"",A119)</f>
        <v/>
      </c>
      <c r="D57" s="16" t="str">
        <f t="shared" si="28"/>
        <v/>
      </c>
      <c r="E57" s="16"/>
    </row>
    <row r="58" spans="1:5" x14ac:dyDescent="0.2">
      <c r="A58" s="54"/>
      <c r="B58" s="50"/>
      <c r="C58" s="16" t="str">
        <f t="shared" ref="C58:D58" si="29">+IF(A120=0,"",A120)</f>
        <v/>
      </c>
      <c r="D58" s="16" t="str">
        <f t="shared" si="29"/>
        <v/>
      </c>
      <c r="E58" s="16"/>
    </row>
    <row r="59" spans="1:5" x14ac:dyDescent="0.2">
      <c r="A59" s="54"/>
      <c r="B59" s="50"/>
      <c r="C59" s="16" t="str">
        <f t="shared" ref="C59:D59" si="30">+IF(A121=0,"",A121)</f>
        <v/>
      </c>
      <c r="D59" s="16" t="str">
        <f t="shared" si="30"/>
        <v/>
      </c>
      <c r="E59" s="16"/>
    </row>
    <row r="60" spans="1:5" x14ac:dyDescent="0.2">
      <c r="A60" s="54"/>
      <c r="B60" s="50"/>
      <c r="C60" s="16" t="str">
        <f t="shared" ref="C60:D60" si="31">+IF(A122=0,"",A122)</f>
        <v/>
      </c>
      <c r="D60" s="16" t="str">
        <f t="shared" si="31"/>
        <v/>
      </c>
      <c r="E60" s="16"/>
    </row>
    <row r="61" spans="1:5" x14ac:dyDescent="0.2">
      <c r="A61" s="54"/>
      <c r="B61" s="50"/>
      <c r="C61" s="16" t="str">
        <f t="shared" ref="C61:D61" si="32">+IF(A123=0,"",A123)</f>
        <v/>
      </c>
      <c r="D61" s="16" t="str">
        <f t="shared" si="32"/>
        <v/>
      </c>
      <c r="E61" s="16"/>
    </row>
    <row r="62" spans="1:5" x14ac:dyDescent="0.2">
      <c r="A62" s="54"/>
      <c r="B62" s="50"/>
      <c r="C62" s="16" t="str">
        <f t="shared" ref="C62:D62" si="33">+IF(A124=0,"",A124)</f>
        <v/>
      </c>
      <c r="D62" s="16" t="str">
        <f t="shared" si="33"/>
        <v/>
      </c>
      <c r="E62" s="16"/>
    </row>
    <row r="63" spans="1:5" x14ac:dyDescent="0.2">
      <c r="A63" s="54"/>
      <c r="B63" s="50"/>
      <c r="C63" s="16" t="str">
        <f t="shared" ref="C63:D63" si="34">+IF(A125=0,"",A125)</f>
        <v/>
      </c>
      <c r="D63" s="16" t="str">
        <f t="shared" si="34"/>
        <v/>
      </c>
      <c r="E63" s="16"/>
    </row>
    <row r="64" spans="1:5" x14ac:dyDescent="0.2">
      <c r="A64" s="54"/>
      <c r="B64" s="50"/>
      <c r="C64" s="16" t="str">
        <f t="shared" ref="C64:D64" si="35">+IF(A126=0,"",A126)</f>
        <v/>
      </c>
      <c r="D64" s="16" t="str">
        <f t="shared" si="35"/>
        <v/>
      </c>
      <c r="E64" s="16"/>
    </row>
    <row r="65" spans="1:5" x14ac:dyDescent="0.2">
      <c r="A65" s="54"/>
      <c r="B65" s="50"/>
      <c r="C65" s="16"/>
      <c r="D65" s="16"/>
      <c r="E65" s="16"/>
    </row>
    <row r="66" spans="1:5" x14ac:dyDescent="0.2">
      <c r="A66" s="54"/>
      <c r="B66" s="50"/>
      <c r="C66" s="16"/>
      <c r="D66" s="16"/>
      <c r="E66" s="16"/>
    </row>
    <row r="67" spans="1:5" x14ac:dyDescent="0.2">
      <c r="B67" s="16"/>
      <c r="C67" s="16"/>
      <c r="D67" s="16"/>
      <c r="E67" s="16"/>
    </row>
    <row r="68" spans="1:5" x14ac:dyDescent="0.2">
      <c r="B68" s="16"/>
      <c r="C68" s="16"/>
      <c r="D68" s="16"/>
      <c r="E68" s="16"/>
    </row>
    <row r="69" spans="1:5" x14ac:dyDescent="0.2">
      <c r="B69" s="16"/>
      <c r="C69" s="16"/>
      <c r="D69" s="16"/>
      <c r="E69" s="16"/>
    </row>
    <row r="70" spans="1:5" ht="12" customHeight="1" x14ac:dyDescent="0.2">
      <c r="B70" s="16"/>
      <c r="C70" s="16"/>
      <c r="D70" s="16"/>
      <c r="E70" s="16"/>
    </row>
    <row r="71" spans="1:5" ht="12" customHeight="1" x14ac:dyDescent="0.2">
      <c r="A71" s="43"/>
      <c r="B71" s="53"/>
      <c r="C71" s="53"/>
      <c r="D71" s="53"/>
      <c r="E71" s="16"/>
    </row>
    <row r="72" spans="1:5" ht="12" hidden="1" customHeight="1" x14ac:dyDescent="0.2">
      <c r="A72" s="40" t="s">
        <v>44</v>
      </c>
      <c r="B72" s="53"/>
      <c r="C72" s="53"/>
      <c r="D72" s="53"/>
    </row>
    <row r="73" spans="1:5" ht="12" hidden="1" customHeight="1" x14ac:dyDescent="0.2">
      <c r="A73" s="43" t="str">
        <f>Legislation!A34</f>
        <v>SDLT rates - to top limit</v>
      </c>
      <c r="B73" s="43">
        <f>Legislation!B34+IF(D$7&gt;Legislation!D$41-1,Legislation!B$41,0)</f>
        <v>0.03</v>
      </c>
      <c r="C73" s="53"/>
      <c r="D73" s="43" t="str">
        <f>Legislation!A44</f>
        <v>SDLT - non residential</v>
      </c>
      <c r="E73" s="43">
        <f>Legislation!B44+B$80</f>
        <v>0.03</v>
      </c>
    </row>
    <row r="74" spans="1:5" ht="12" hidden="1" customHeight="1" x14ac:dyDescent="0.2">
      <c r="A74" s="43">
        <f>Legislation!A35</f>
        <v>125000</v>
      </c>
      <c r="B74" s="43">
        <f>Legislation!B35+IF(D$7&gt;Legislation!D$41-1,Legislation!B$41,0)</f>
        <v>0.03</v>
      </c>
      <c r="C74" s="53">
        <f>B74*A74</f>
        <v>3750</v>
      </c>
      <c r="D74" s="43">
        <f>Legislation!A45</f>
        <v>150000</v>
      </c>
      <c r="E74" s="43">
        <f>Legislation!B45+B$80</f>
        <v>0.03</v>
      </c>
    </row>
    <row r="75" spans="1:5" ht="12" hidden="1" customHeight="1" x14ac:dyDescent="0.2">
      <c r="A75" s="43">
        <f>Legislation!A36</f>
        <v>250000</v>
      </c>
      <c r="B75" s="43">
        <f>Legislation!B36+IF(D$7&gt;Legislation!D$41-1,Legislation!B$41,0)</f>
        <v>0.05</v>
      </c>
      <c r="C75" s="53">
        <f>(238333-A74)*B75</f>
        <v>5666.6500000000005</v>
      </c>
      <c r="D75" s="43">
        <f>Legislation!A46</f>
        <v>250000</v>
      </c>
      <c r="E75" s="43">
        <f>Legislation!B46+B$80</f>
        <v>0.05</v>
      </c>
    </row>
    <row r="76" spans="1:5" ht="12" hidden="1" customHeight="1" x14ac:dyDescent="0.2">
      <c r="A76" s="43">
        <f>Legislation!A37</f>
        <v>925000</v>
      </c>
      <c r="B76" s="43">
        <f>Legislation!B37+IF(D$7&gt;Legislation!D$41-1,Legislation!B$41,0)</f>
        <v>0.08</v>
      </c>
      <c r="C76" s="53">
        <f>SUM(C74:C75)</f>
        <v>9416.6500000000015</v>
      </c>
      <c r="D76" s="43" t="str">
        <f>Legislation!A47</f>
        <v>Above</v>
      </c>
      <c r="E76" s="43">
        <f>Legislation!B47+B$80</f>
        <v>7.0000000000000007E-2</v>
      </c>
    </row>
    <row r="77" spans="1:5" ht="12" hidden="1" customHeight="1" x14ac:dyDescent="0.2">
      <c r="A77" s="43">
        <f>Legislation!A38</f>
        <v>1500000</v>
      </c>
      <c r="B77" s="43">
        <f>Legislation!B38+IF(D$7&gt;Legislation!D$41-1,Legislation!B$41,0)</f>
        <v>0.13</v>
      </c>
      <c r="C77" s="53"/>
      <c r="D77" s="53"/>
    </row>
    <row r="78" spans="1:5" ht="12" hidden="1" customHeight="1" x14ac:dyDescent="0.2">
      <c r="A78" s="43" t="str">
        <f>Legislation!A39</f>
        <v>over</v>
      </c>
      <c r="B78" s="43">
        <f>Legislation!B39+IF(D$7&gt;Legislation!D$41-1,Legislation!B$41,0)</f>
        <v>0.15</v>
      </c>
      <c r="C78" s="53"/>
      <c r="D78" s="53"/>
    </row>
    <row r="79" spans="1:5" ht="12" hidden="1" customHeight="1" x14ac:dyDescent="0.2">
      <c r="A79" s="43" t="str">
        <f>Legislation!A40</f>
        <v>Minimum rate for MDR relief</v>
      </c>
      <c r="B79" s="43">
        <f>Legislation!B40</f>
        <v>0.01</v>
      </c>
      <c r="C79" s="53"/>
      <c r="D79" s="53"/>
    </row>
    <row r="80" spans="1:5" ht="12" hidden="1" customHeight="1" x14ac:dyDescent="0.2">
      <c r="A80" s="43" t="str">
        <f>Legislation!A41</f>
        <v>BTL SDLT supplement</v>
      </c>
      <c r="B80" s="43">
        <f>Legislation!B41</f>
        <v>0.03</v>
      </c>
      <c r="C80" s="43" t="str">
        <f>Legislation!C41</f>
        <v xml:space="preserve">from </v>
      </c>
      <c r="D80" s="43">
        <f>Legislation!D41</f>
        <v>42461</v>
      </c>
      <c r="E80" s="43"/>
    </row>
    <row r="81" spans="1:5" ht="12" hidden="1" customHeight="1" x14ac:dyDescent="0.2">
      <c r="A81" s="43" t="str">
        <f>Legislation!A42</f>
        <v xml:space="preserve">on purchases in excess of </v>
      </c>
      <c r="B81" s="43">
        <f>Legislation!B42</f>
        <v>40000</v>
      </c>
      <c r="C81" s="53"/>
      <c r="D81" s="53"/>
    </row>
    <row r="82" spans="1:5" ht="12" hidden="1" customHeight="1" x14ac:dyDescent="0.2">
      <c r="A82" s="43">
        <f>Legislation!A43</f>
        <v>0</v>
      </c>
      <c r="B82" s="43">
        <f>Legislation!B43</f>
        <v>0</v>
      </c>
      <c r="C82" s="53"/>
      <c r="D82" s="53"/>
    </row>
    <row r="83" spans="1:5" ht="12" hidden="1" customHeight="1" x14ac:dyDescent="0.2">
      <c r="C83" s="53"/>
      <c r="D83" s="53"/>
    </row>
    <row r="84" spans="1:5" ht="12" hidden="1" customHeight="1" x14ac:dyDescent="0.2">
      <c r="C84" s="53"/>
      <c r="D84" s="53"/>
    </row>
    <row r="85" spans="1:5" ht="12" hidden="1" customHeight="1" x14ac:dyDescent="0.2">
      <c r="C85" s="53"/>
      <c r="D85" s="53"/>
    </row>
    <row r="86" spans="1:5" ht="12" hidden="1" customHeight="1" x14ac:dyDescent="0.2">
      <c r="C86" s="53"/>
      <c r="D86" s="53"/>
    </row>
    <row r="87" spans="1:5" ht="12" hidden="1" customHeight="1" x14ac:dyDescent="0.2">
      <c r="A87" s="43" t="str">
        <f>Legislation!A47</f>
        <v>Above</v>
      </c>
      <c r="B87" s="43">
        <f>Legislation!B47</f>
        <v>0.04</v>
      </c>
      <c r="C87" s="53"/>
      <c r="D87" s="53"/>
    </row>
    <row r="88" spans="1:5" ht="12" hidden="1" customHeight="1" x14ac:dyDescent="0.2">
      <c r="A88" s="43" t="str">
        <f>Legislation!A48</f>
        <v>Applicable to portfolios of</v>
      </c>
      <c r="B88" s="43">
        <f>Legislation!B48</f>
        <v>6</v>
      </c>
      <c r="C88" s="53"/>
      <c r="D88" s="53"/>
    </row>
    <row r="89" spans="1:5" ht="12" hidden="1" customHeight="1" x14ac:dyDescent="0.2">
      <c r="A89" s="46" t="s">
        <v>192</v>
      </c>
      <c r="B89" s="43"/>
      <c r="C89" s="53"/>
      <c r="D89" t="s">
        <v>191</v>
      </c>
    </row>
    <row r="90" spans="1:5" ht="12" hidden="1" customHeight="1" x14ac:dyDescent="0.2">
      <c r="A90" s="53">
        <f>+(C90*B$74+IF(C90&gt;A$74,C90-A$74,0)*(B$75-B$74)+IF(C90&gt;A$75,C90-A$75,0)*(B$76-B$75)+IF(C90&gt;A$76,C90-A$76,0)*(B$77-B$76)+IF(C90&gt;A$77,C90-A$77,0)*(B$78-B$77))*IF(C90&lt;B$81,0,1)</f>
        <v>6550</v>
      </c>
      <c r="B90" s="53">
        <f>IF(Legislation!D$51&gt;Legislation!B$51*'Incorporation costs'!B28,Legislation!D$51,Legislation!B$51*'Incorporation costs'!B28)-IF(B28=0,Legislation!D$51,0)</f>
        <v>500</v>
      </c>
      <c r="C90" s="53">
        <f t="shared" ref="C90:C128" si="36">B28</f>
        <v>181000</v>
      </c>
      <c r="D90" s="53">
        <f>+(C90*E$74+IF(C90&gt;D$74,C90-D$74,0)*(E$75-E$74)+IF(C90&gt;D$75,C90-D$75,0)*(E$76-E$75))</f>
        <v>6050</v>
      </c>
      <c r="E90" s="53">
        <f t="shared" ref="E90:E128" si="37">+IF(C90&gt;0,1,0)</f>
        <v>1</v>
      </c>
    </row>
    <row r="91" spans="1:5" ht="12" hidden="1" customHeight="1" x14ac:dyDescent="0.2">
      <c r="A91" s="53">
        <f>+(C91*B$74+IF(C91&gt;A$74,C91-A$74,0)*(B$75-B$74)+IF(C91&gt;A$75,C91-A$75,0)*(B$76-B$75)+IF(C91&gt;A$76,C91-A$76,0)*(B$77-B$76)+IF(C91&gt;A$77,C91-A$77,0)*(B$78-B$77))*IF(C91&lt;B$81,0,1)</f>
        <v>4750</v>
      </c>
      <c r="B91" s="53">
        <f>IF(Legislation!D$51&gt;Legislation!B$51*'Incorporation costs'!B29,Legislation!D$51,Legislation!B$51*'Incorporation costs'!B29)-IF(B29=0,Legislation!D$51,0)</f>
        <v>500</v>
      </c>
      <c r="C91" s="53">
        <f t="shared" si="36"/>
        <v>145000</v>
      </c>
      <c r="D91" s="53">
        <f t="shared" ref="D91:D128" si="38">+(C91*E$74+IF(C91&gt;D$74,C91-D$74,0)*(E$75-E$74)+IF(C91&gt;D$75,C91-D$75,0)*(E$76-E$75))</f>
        <v>4350</v>
      </c>
      <c r="E91" s="53">
        <f t="shared" si="37"/>
        <v>1</v>
      </c>
    </row>
    <row r="92" spans="1:5" ht="12" hidden="1" customHeight="1" x14ac:dyDescent="0.2">
      <c r="A92" s="53">
        <f t="shared" ref="A92:A128" si="39">+(C92*B$74+IF(C92&gt;A$74,C92-A$74,0)*(B$75-B$74)+IF(C92&gt;A$75,C92-A$75,0)*(B$76-B$75)+IF(C92&gt;A$76,C92-A$76,0)*(B$77-B$76)+IF(C92&gt;A$77,C92-A$77,0)*(B$78-B$77))*IF(C92&lt;B$81,0,1)</f>
        <v>4450</v>
      </c>
      <c r="B92" s="53">
        <f>IF(Legislation!D$51&gt;Legislation!B$51*'Incorporation costs'!B30,Legislation!D$51,Legislation!B$51*'Incorporation costs'!B30)-IF(B30=0,Legislation!D$51,0)</f>
        <v>500</v>
      </c>
      <c r="C92" s="53">
        <f t="shared" si="36"/>
        <v>139000</v>
      </c>
      <c r="D92" s="53">
        <f t="shared" si="38"/>
        <v>4170</v>
      </c>
      <c r="E92" s="53">
        <f t="shared" si="37"/>
        <v>1</v>
      </c>
    </row>
    <row r="93" spans="1:5" ht="12" hidden="1" customHeight="1" x14ac:dyDescent="0.2">
      <c r="A93" s="53">
        <f t="shared" si="39"/>
        <v>4200</v>
      </c>
      <c r="B93" s="53">
        <f>IF(Legislation!D$51&gt;Legislation!B$51*'Incorporation costs'!B31,Legislation!D$51,Legislation!B$51*'Incorporation costs'!B31)-IF(B31=0,Legislation!D$51,0)</f>
        <v>500</v>
      </c>
      <c r="C93" s="53">
        <f t="shared" si="36"/>
        <v>134000</v>
      </c>
      <c r="D93" s="53">
        <f t="shared" si="38"/>
        <v>4020</v>
      </c>
      <c r="E93" s="53">
        <f t="shared" si="37"/>
        <v>1</v>
      </c>
    </row>
    <row r="94" spans="1:5" ht="12" hidden="1" customHeight="1" x14ac:dyDescent="0.2">
      <c r="A94" s="53">
        <f t="shared" si="39"/>
        <v>4450</v>
      </c>
      <c r="B94" s="53">
        <f>IF(Legislation!D$51&gt;Legislation!B$51*'Incorporation costs'!B32,Legislation!D$51,Legislation!B$51*'Incorporation costs'!B32)-IF(B32=0,Legislation!D$51,0)</f>
        <v>500</v>
      </c>
      <c r="C94" s="53">
        <f t="shared" si="36"/>
        <v>139000</v>
      </c>
      <c r="D94" s="53">
        <f t="shared" si="38"/>
        <v>4170</v>
      </c>
      <c r="E94" s="53">
        <f t="shared" si="37"/>
        <v>1</v>
      </c>
    </row>
    <row r="95" spans="1:5" ht="12" hidden="1" customHeight="1" x14ac:dyDescent="0.2">
      <c r="A95" s="53">
        <f t="shared" si="39"/>
        <v>0</v>
      </c>
      <c r="B95" s="53">
        <f>IF(Legislation!D$51&gt;Legislation!B$51*'Incorporation costs'!B33,Legislation!D$51,Legislation!B$51*'Incorporation costs'!B33)-IF(B33=0,Legislation!D$51,0)</f>
        <v>0</v>
      </c>
      <c r="C95" s="53">
        <f t="shared" si="36"/>
        <v>0</v>
      </c>
      <c r="D95" s="53">
        <f t="shared" si="38"/>
        <v>0</v>
      </c>
      <c r="E95" s="53">
        <f t="shared" si="37"/>
        <v>0</v>
      </c>
    </row>
    <row r="96" spans="1:5" ht="12" hidden="1" customHeight="1" x14ac:dyDescent="0.2">
      <c r="A96" s="53">
        <f t="shared" si="39"/>
        <v>0</v>
      </c>
      <c r="B96" s="53">
        <f>IF(Legislation!D$51&gt;Legislation!B$51*'Incorporation costs'!B34,Legislation!D$51,Legislation!B$51*'Incorporation costs'!B34)-IF(B34=0,Legislation!D$51,0)</f>
        <v>0</v>
      </c>
      <c r="C96" s="53">
        <f t="shared" si="36"/>
        <v>0</v>
      </c>
      <c r="D96" s="53">
        <f t="shared" si="38"/>
        <v>0</v>
      </c>
      <c r="E96" s="53">
        <f t="shared" si="37"/>
        <v>0</v>
      </c>
    </row>
    <row r="97" spans="1:5" ht="12" hidden="1" customHeight="1" x14ac:dyDescent="0.2">
      <c r="A97" s="53">
        <f t="shared" si="39"/>
        <v>0</v>
      </c>
      <c r="B97" s="53">
        <f>IF(Legislation!D$51&gt;Legislation!B$51*'Incorporation costs'!B35,Legislation!D$51,Legislation!B$51*'Incorporation costs'!B35)-IF(B35=0,Legislation!D$51,0)</f>
        <v>0</v>
      </c>
      <c r="C97" s="53">
        <f t="shared" si="36"/>
        <v>0</v>
      </c>
      <c r="D97" s="53">
        <f t="shared" si="38"/>
        <v>0</v>
      </c>
      <c r="E97" s="53">
        <f t="shared" si="37"/>
        <v>0</v>
      </c>
    </row>
    <row r="98" spans="1:5" ht="12" hidden="1" customHeight="1" x14ac:dyDescent="0.2">
      <c r="A98" s="53">
        <f t="shared" si="39"/>
        <v>0</v>
      </c>
      <c r="B98" s="53">
        <f>IF(Legislation!D$51&gt;Legislation!B$51*'Incorporation costs'!B36,Legislation!D$51,Legislation!B$51*'Incorporation costs'!B36)-IF(B36=0,Legislation!D$51,0)</f>
        <v>0</v>
      </c>
      <c r="C98" s="53">
        <f t="shared" si="36"/>
        <v>0</v>
      </c>
      <c r="D98" s="53">
        <f t="shared" si="38"/>
        <v>0</v>
      </c>
      <c r="E98" s="53">
        <f t="shared" si="37"/>
        <v>0</v>
      </c>
    </row>
    <row r="99" spans="1:5" ht="12" hidden="1" customHeight="1" x14ac:dyDescent="0.2">
      <c r="A99" s="53">
        <f t="shared" si="39"/>
        <v>0</v>
      </c>
      <c r="B99" s="53">
        <f>IF(Legislation!D$51&gt;Legislation!B$51*'Incorporation costs'!B37,Legislation!D$51,Legislation!B$51*'Incorporation costs'!B37)-IF(B37=0,Legislation!D$51,0)</f>
        <v>0</v>
      </c>
      <c r="C99" s="53">
        <f t="shared" si="36"/>
        <v>0</v>
      </c>
      <c r="D99" s="53">
        <f t="shared" si="38"/>
        <v>0</v>
      </c>
      <c r="E99" s="53">
        <f t="shared" si="37"/>
        <v>0</v>
      </c>
    </row>
    <row r="100" spans="1:5" ht="12" hidden="1" customHeight="1" x14ac:dyDescent="0.2">
      <c r="A100" s="53">
        <f t="shared" si="39"/>
        <v>0</v>
      </c>
      <c r="B100" s="53">
        <f>IF(Legislation!D$51&gt;Legislation!B$51*'Incorporation costs'!B38,Legislation!D$51,Legislation!B$51*'Incorporation costs'!B38)-IF(B38=0,Legislation!D$51,0)</f>
        <v>0</v>
      </c>
      <c r="C100" s="53">
        <f t="shared" si="36"/>
        <v>0</v>
      </c>
      <c r="D100" s="53">
        <f t="shared" si="38"/>
        <v>0</v>
      </c>
      <c r="E100" s="53">
        <f t="shared" si="37"/>
        <v>0</v>
      </c>
    </row>
    <row r="101" spans="1:5" ht="12" hidden="1" customHeight="1" x14ac:dyDescent="0.2">
      <c r="A101" s="53">
        <f t="shared" si="39"/>
        <v>0</v>
      </c>
      <c r="B101" s="53">
        <f>IF(Legislation!D$51&gt;Legislation!B$51*'Incorporation costs'!B39,Legislation!D$51,Legislation!B$51*'Incorporation costs'!B39)-IF(B39=0,Legislation!D$51,0)</f>
        <v>0</v>
      </c>
      <c r="C101" s="53">
        <f t="shared" si="36"/>
        <v>0</v>
      </c>
      <c r="D101" s="53">
        <f t="shared" si="38"/>
        <v>0</v>
      </c>
      <c r="E101" s="53">
        <f t="shared" si="37"/>
        <v>0</v>
      </c>
    </row>
    <row r="102" spans="1:5" ht="12" hidden="1" customHeight="1" x14ac:dyDescent="0.2">
      <c r="A102" s="53">
        <f t="shared" si="39"/>
        <v>0</v>
      </c>
      <c r="B102" s="53">
        <f>IF(Legislation!D$51&gt;Legislation!B$51*'Incorporation costs'!B40,Legislation!D$51,Legislation!B$51*'Incorporation costs'!B40)-IF(B40=0,Legislation!D$51,0)</f>
        <v>0</v>
      </c>
      <c r="C102" s="53">
        <f t="shared" si="36"/>
        <v>0</v>
      </c>
      <c r="D102" s="53">
        <f t="shared" si="38"/>
        <v>0</v>
      </c>
      <c r="E102" s="53">
        <f t="shared" si="37"/>
        <v>0</v>
      </c>
    </row>
    <row r="103" spans="1:5" ht="12" hidden="1" customHeight="1" x14ac:dyDescent="0.2">
      <c r="A103" s="53">
        <f t="shared" si="39"/>
        <v>0</v>
      </c>
      <c r="B103" s="53">
        <f>IF(Legislation!D$51&gt;Legislation!B$51*'Incorporation costs'!B41,Legislation!D$51,Legislation!B$51*'Incorporation costs'!B41)-IF(B41=0,Legislation!D$51,0)</f>
        <v>0</v>
      </c>
      <c r="C103" s="53">
        <f t="shared" si="36"/>
        <v>0</v>
      </c>
      <c r="D103" s="53">
        <f t="shared" si="38"/>
        <v>0</v>
      </c>
      <c r="E103" s="53">
        <f t="shared" si="37"/>
        <v>0</v>
      </c>
    </row>
    <row r="104" spans="1:5" ht="12" hidden="1" customHeight="1" x14ac:dyDescent="0.2">
      <c r="A104" s="53">
        <f t="shared" si="39"/>
        <v>0</v>
      </c>
      <c r="B104" s="53">
        <f>IF(Legislation!D$51&gt;Legislation!B$51*'Incorporation costs'!B42,Legislation!D$51,Legislation!B$51*'Incorporation costs'!B42)-IF(B42=0,Legislation!D$51,0)</f>
        <v>0</v>
      </c>
      <c r="C104" s="53">
        <f t="shared" si="36"/>
        <v>0</v>
      </c>
      <c r="D104" s="53">
        <f t="shared" si="38"/>
        <v>0</v>
      </c>
      <c r="E104" s="53">
        <f t="shared" si="37"/>
        <v>0</v>
      </c>
    </row>
    <row r="105" spans="1:5" ht="12" hidden="1" customHeight="1" x14ac:dyDescent="0.2">
      <c r="A105" s="53">
        <f t="shared" si="39"/>
        <v>0</v>
      </c>
      <c r="B105" s="53">
        <f>IF(Legislation!D$51&gt;Legislation!B$51*'Incorporation costs'!B43,Legislation!D$51,Legislation!B$51*'Incorporation costs'!B43)-IF(B43=0,Legislation!D$51,0)</f>
        <v>0</v>
      </c>
      <c r="C105" s="53">
        <f t="shared" si="36"/>
        <v>0</v>
      </c>
      <c r="D105" s="53">
        <f t="shared" si="38"/>
        <v>0</v>
      </c>
      <c r="E105" s="53">
        <f t="shared" si="37"/>
        <v>0</v>
      </c>
    </row>
    <row r="106" spans="1:5" ht="12" hidden="1" customHeight="1" x14ac:dyDescent="0.2">
      <c r="A106" s="53">
        <f t="shared" si="39"/>
        <v>0</v>
      </c>
      <c r="B106" s="53">
        <f>IF(Legislation!D$51&gt;Legislation!B$51*'Incorporation costs'!B44,Legislation!D$51,Legislation!B$51*'Incorporation costs'!B44)-IF(B44=0,Legislation!D$51,0)</f>
        <v>0</v>
      </c>
      <c r="C106" s="53">
        <f t="shared" si="36"/>
        <v>0</v>
      </c>
      <c r="D106" s="53">
        <f t="shared" si="38"/>
        <v>0</v>
      </c>
      <c r="E106" s="53">
        <f t="shared" si="37"/>
        <v>0</v>
      </c>
    </row>
    <row r="107" spans="1:5" ht="3" hidden="1" customHeight="1" x14ac:dyDescent="0.2">
      <c r="A107" s="53">
        <f t="shared" si="39"/>
        <v>0</v>
      </c>
      <c r="B107" s="53">
        <f>IF(Legislation!D$51&gt;Legislation!B$51*'Incorporation costs'!B45,Legislation!D$51,Legislation!B$51*'Incorporation costs'!B45)-IF(B45=0,Legislation!D$51,0)</f>
        <v>0</v>
      </c>
      <c r="C107" s="53">
        <f t="shared" si="36"/>
        <v>0</v>
      </c>
      <c r="D107" s="53">
        <f t="shared" si="38"/>
        <v>0</v>
      </c>
      <c r="E107" s="53">
        <f t="shared" si="37"/>
        <v>0</v>
      </c>
    </row>
    <row r="108" spans="1:5" ht="12" hidden="1" customHeight="1" x14ac:dyDescent="0.2">
      <c r="A108" s="53">
        <f t="shared" si="39"/>
        <v>0</v>
      </c>
      <c r="B108" s="53">
        <f>IF(Legislation!D$51&gt;Legislation!B$51*'Incorporation costs'!B46,Legislation!D$51,Legislation!B$51*'Incorporation costs'!B46)-IF(B46=0,Legislation!D$51,0)</f>
        <v>0</v>
      </c>
      <c r="C108" s="53">
        <f t="shared" si="36"/>
        <v>0</v>
      </c>
      <c r="D108" s="53">
        <f t="shared" si="38"/>
        <v>0</v>
      </c>
      <c r="E108" s="53">
        <f t="shared" si="37"/>
        <v>0</v>
      </c>
    </row>
    <row r="109" spans="1:5" ht="12" hidden="1" customHeight="1" x14ac:dyDescent="0.2">
      <c r="A109" s="53">
        <f t="shared" si="39"/>
        <v>0</v>
      </c>
      <c r="B109" s="53">
        <f>IF(Legislation!D$51&gt;Legislation!B$51*'Incorporation costs'!B47,Legislation!D$51,Legislation!B$51*'Incorporation costs'!B47)-IF(B47=0,Legislation!D$51,0)</f>
        <v>0</v>
      </c>
      <c r="C109" s="53">
        <f t="shared" si="36"/>
        <v>0</v>
      </c>
      <c r="D109" s="53">
        <f t="shared" si="38"/>
        <v>0</v>
      </c>
      <c r="E109" s="53">
        <f t="shared" si="37"/>
        <v>0</v>
      </c>
    </row>
    <row r="110" spans="1:5" ht="12" hidden="1" customHeight="1" x14ac:dyDescent="0.2">
      <c r="A110" s="53">
        <f t="shared" si="39"/>
        <v>0</v>
      </c>
      <c r="B110" s="53">
        <f>IF(Legislation!D$51&gt;Legislation!B$51*'Incorporation costs'!B48,Legislation!D$51,Legislation!B$51*'Incorporation costs'!B48)-IF(B48=0,Legislation!D$51,0)</f>
        <v>0</v>
      </c>
      <c r="C110" s="53">
        <f t="shared" si="36"/>
        <v>0</v>
      </c>
      <c r="D110" s="53">
        <f t="shared" si="38"/>
        <v>0</v>
      </c>
      <c r="E110" s="53">
        <f t="shared" si="37"/>
        <v>0</v>
      </c>
    </row>
    <row r="111" spans="1:5" ht="12" hidden="1" customHeight="1" x14ac:dyDescent="0.2">
      <c r="A111" s="53">
        <f t="shared" si="39"/>
        <v>0</v>
      </c>
      <c r="B111" s="53">
        <f>IF(Legislation!D$51&gt;Legislation!B$51*'Incorporation costs'!B49,Legislation!D$51,Legislation!B$51*'Incorporation costs'!B49)-IF(B49=0,Legislation!D$51,0)</f>
        <v>0</v>
      </c>
      <c r="C111" s="53">
        <f t="shared" si="36"/>
        <v>0</v>
      </c>
      <c r="D111" s="53">
        <f t="shared" si="38"/>
        <v>0</v>
      </c>
      <c r="E111" s="53">
        <f t="shared" si="37"/>
        <v>0</v>
      </c>
    </row>
    <row r="112" spans="1:5" ht="12" hidden="1" customHeight="1" x14ac:dyDescent="0.2">
      <c r="A112" s="53">
        <f t="shared" si="39"/>
        <v>0</v>
      </c>
      <c r="B112" s="53">
        <f>IF(Legislation!D$51&gt;Legislation!B$51*'Incorporation costs'!B50,Legislation!D$51,Legislation!B$51*'Incorporation costs'!B50)-IF(B50=0,Legislation!D$51,0)</f>
        <v>0</v>
      </c>
      <c r="C112" s="53">
        <f t="shared" si="36"/>
        <v>0</v>
      </c>
      <c r="D112" s="53">
        <f t="shared" si="38"/>
        <v>0</v>
      </c>
      <c r="E112" s="53">
        <f t="shared" si="37"/>
        <v>0</v>
      </c>
    </row>
    <row r="113" spans="1:5" ht="12" hidden="1" customHeight="1" x14ac:dyDescent="0.2">
      <c r="A113" s="53">
        <f t="shared" si="39"/>
        <v>0</v>
      </c>
      <c r="B113" s="53">
        <f>IF(Legislation!D$51&gt;Legislation!B$51*'Incorporation costs'!B51,Legislation!D$51,Legislation!B$51*'Incorporation costs'!B51)-IF(B51=0,Legislation!D$51,0)</f>
        <v>0</v>
      </c>
      <c r="C113" s="53">
        <f t="shared" si="36"/>
        <v>0</v>
      </c>
      <c r="D113" s="53">
        <f t="shared" si="38"/>
        <v>0</v>
      </c>
      <c r="E113" s="53">
        <f t="shared" si="37"/>
        <v>0</v>
      </c>
    </row>
    <row r="114" spans="1:5" ht="12" hidden="1" customHeight="1" x14ac:dyDescent="0.2">
      <c r="A114" s="53">
        <f t="shared" si="39"/>
        <v>0</v>
      </c>
      <c r="B114" s="53">
        <f>IF(Legislation!D$51&gt;Legislation!B$51*'Incorporation costs'!B52,Legislation!D$51,Legislation!B$51*'Incorporation costs'!B52)-IF(B52=0,Legislation!D$51,0)</f>
        <v>0</v>
      </c>
      <c r="C114" s="53">
        <f t="shared" si="36"/>
        <v>0</v>
      </c>
      <c r="D114" s="53">
        <f t="shared" si="38"/>
        <v>0</v>
      </c>
      <c r="E114" s="53">
        <f t="shared" si="37"/>
        <v>0</v>
      </c>
    </row>
    <row r="115" spans="1:5" ht="12" hidden="1" customHeight="1" x14ac:dyDescent="0.2">
      <c r="A115" s="53">
        <f t="shared" si="39"/>
        <v>0</v>
      </c>
      <c r="B115" s="53">
        <f>IF(Legislation!D$51&gt;Legislation!B$51*'Incorporation costs'!B53,Legislation!D$51,Legislation!B$51*'Incorporation costs'!B53)-IF(B53=0,Legislation!D$51,0)</f>
        <v>0</v>
      </c>
      <c r="C115" s="53">
        <f t="shared" si="36"/>
        <v>0</v>
      </c>
      <c r="D115" s="53">
        <f t="shared" si="38"/>
        <v>0</v>
      </c>
      <c r="E115" s="53">
        <f t="shared" si="37"/>
        <v>0</v>
      </c>
    </row>
    <row r="116" spans="1:5" ht="12" hidden="1" customHeight="1" x14ac:dyDescent="0.2">
      <c r="A116" s="53">
        <f t="shared" si="39"/>
        <v>0</v>
      </c>
      <c r="B116" s="53">
        <f>IF(Legislation!D$51&gt;Legislation!B$51*'Incorporation costs'!B54,Legislation!D$51,Legislation!B$51*'Incorporation costs'!B54)-IF(B54=0,Legislation!D$51,0)</f>
        <v>0</v>
      </c>
      <c r="C116" s="53">
        <f t="shared" si="36"/>
        <v>0</v>
      </c>
      <c r="D116" s="53">
        <f t="shared" si="38"/>
        <v>0</v>
      </c>
      <c r="E116" s="53">
        <f t="shared" si="37"/>
        <v>0</v>
      </c>
    </row>
    <row r="117" spans="1:5" ht="12" hidden="1" customHeight="1" x14ac:dyDescent="0.2">
      <c r="A117" s="53">
        <f t="shared" si="39"/>
        <v>0</v>
      </c>
      <c r="B117" s="53">
        <f>IF(Legislation!D$51&gt;Legislation!B$51*'Incorporation costs'!B55,Legislation!D$51,Legislation!B$51*'Incorporation costs'!B55)-IF(B55=0,Legislation!D$51,0)</f>
        <v>0</v>
      </c>
      <c r="C117" s="53">
        <f t="shared" si="36"/>
        <v>0</v>
      </c>
      <c r="D117" s="53">
        <f t="shared" si="38"/>
        <v>0</v>
      </c>
      <c r="E117" s="53">
        <f t="shared" si="37"/>
        <v>0</v>
      </c>
    </row>
    <row r="118" spans="1:5" ht="12" hidden="1" customHeight="1" x14ac:dyDescent="0.2">
      <c r="A118" s="53">
        <f t="shared" si="39"/>
        <v>0</v>
      </c>
      <c r="B118" s="53">
        <f>IF(Legislation!D$51&gt;Legislation!B$51*'Incorporation costs'!B56,Legislation!D$51,Legislation!B$51*'Incorporation costs'!B56)-IF(B56=0,Legislation!D$51,0)</f>
        <v>0</v>
      </c>
      <c r="C118" s="53">
        <f t="shared" si="36"/>
        <v>0</v>
      </c>
      <c r="D118" s="53">
        <f t="shared" si="38"/>
        <v>0</v>
      </c>
      <c r="E118" s="53">
        <f t="shared" si="37"/>
        <v>0</v>
      </c>
    </row>
    <row r="119" spans="1:5" ht="12" hidden="1" customHeight="1" x14ac:dyDescent="0.2">
      <c r="A119" s="53">
        <f t="shared" si="39"/>
        <v>0</v>
      </c>
      <c r="B119" s="53">
        <f>IF(Legislation!D$51&gt;Legislation!B$51*'Incorporation costs'!B57,Legislation!D$51,Legislation!B$51*'Incorporation costs'!B57)-IF(B57=0,Legislation!D$51,0)</f>
        <v>0</v>
      </c>
      <c r="C119" s="53">
        <f t="shared" si="36"/>
        <v>0</v>
      </c>
      <c r="D119" s="53">
        <f t="shared" si="38"/>
        <v>0</v>
      </c>
      <c r="E119" s="53">
        <f t="shared" si="37"/>
        <v>0</v>
      </c>
    </row>
    <row r="120" spans="1:5" ht="12" hidden="1" customHeight="1" x14ac:dyDescent="0.2">
      <c r="A120" s="53">
        <f t="shared" si="39"/>
        <v>0</v>
      </c>
      <c r="B120" s="53">
        <f>IF(Legislation!D$51&gt;Legislation!B$51*'Incorporation costs'!B58,Legislation!D$51,Legislation!B$51*'Incorporation costs'!B58)-IF(B58=0,Legislation!D$51,0)</f>
        <v>0</v>
      </c>
      <c r="C120" s="53">
        <f t="shared" si="36"/>
        <v>0</v>
      </c>
      <c r="D120" s="53">
        <f t="shared" si="38"/>
        <v>0</v>
      </c>
      <c r="E120" s="53">
        <f t="shared" si="37"/>
        <v>0</v>
      </c>
    </row>
    <row r="121" spans="1:5" ht="12" hidden="1" customHeight="1" x14ac:dyDescent="0.2">
      <c r="A121" s="53">
        <f t="shared" si="39"/>
        <v>0</v>
      </c>
      <c r="B121" s="53">
        <f>IF(Legislation!D$51&gt;Legislation!B$51*'Incorporation costs'!B59,Legislation!D$51,Legislation!B$51*'Incorporation costs'!B59)-IF(B59=0,Legislation!D$51,0)</f>
        <v>0</v>
      </c>
      <c r="C121" s="53">
        <f t="shared" si="36"/>
        <v>0</v>
      </c>
      <c r="D121" s="53">
        <f t="shared" si="38"/>
        <v>0</v>
      </c>
      <c r="E121" s="53">
        <f t="shared" si="37"/>
        <v>0</v>
      </c>
    </row>
    <row r="122" spans="1:5" ht="12" hidden="1" customHeight="1" x14ac:dyDescent="0.2">
      <c r="A122" s="53">
        <f t="shared" si="39"/>
        <v>0</v>
      </c>
      <c r="B122" s="53">
        <f>IF(Legislation!D$51&gt;Legislation!B$51*'Incorporation costs'!B60,Legislation!D$51,Legislation!B$51*'Incorporation costs'!B60)-IF(B60=0,Legislation!D$51,0)</f>
        <v>0</v>
      </c>
      <c r="C122" s="53">
        <f t="shared" si="36"/>
        <v>0</v>
      </c>
      <c r="D122" s="53">
        <f t="shared" si="38"/>
        <v>0</v>
      </c>
      <c r="E122" s="53">
        <f t="shared" si="37"/>
        <v>0</v>
      </c>
    </row>
    <row r="123" spans="1:5" ht="12" hidden="1" customHeight="1" x14ac:dyDescent="0.2">
      <c r="A123" s="53">
        <f t="shared" si="39"/>
        <v>0</v>
      </c>
      <c r="B123" s="53">
        <f>IF(Legislation!D$51&gt;Legislation!B$51*'Incorporation costs'!B61,Legislation!D$51,Legislation!B$51*'Incorporation costs'!B61)-IF(B61=0,Legislation!D$51,0)</f>
        <v>0</v>
      </c>
      <c r="C123" s="53">
        <f t="shared" si="36"/>
        <v>0</v>
      </c>
      <c r="D123" s="53">
        <f t="shared" si="38"/>
        <v>0</v>
      </c>
      <c r="E123" s="53">
        <f t="shared" si="37"/>
        <v>0</v>
      </c>
    </row>
    <row r="124" spans="1:5" ht="12" hidden="1" customHeight="1" x14ac:dyDescent="0.2">
      <c r="A124" s="53">
        <f t="shared" si="39"/>
        <v>0</v>
      </c>
      <c r="B124" s="53">
        <f>IF(Legislation!D$51&gt;Legislation!B$51*'Incorporation costs'!B62,Legislation!D$51,Legislation!B$51*'Incorporation costs'!B62)-IF(B62=0,Legislation!D$51,0)</f>
        <v>0</v>
      </c>
      <c r="C124" s="53">
        <f t="shared" si="36"/>
        <v>0</v>
      </c>
      <c r="D124" s="53">
        <f t="shared" si="38"/>
        <v>0</v>
      </c>
      <c r="E124" s="53">
        <f t="shared" si="37"/>
        <v>0</v>
      </c>
    </row>
    <row r="125" spans="1:5" ht="12" hidden="1" customHeight="1" x14ac:dyDescent="0.2">
      <c r="A125" s="53">
        <f t="shared" si="39"/>
        <v>0</v>
      </c>
      <c r="B125" s="53">
        <f>IF(Legislation!D$51&gt;Legislation!B$51*'Incorporation costs'!B63,Legislation!D$51,Legislation!B$51*'Incorporation costs'!B63)-IF(B63=0,Legislation!D$51,0)</f>
        <v>0</v>
      </c>
      <c r="C125" s="53">
        <f t="shared" si="36"/>
        <v>0</v>
      </c>
      <c r="D125" s="53">
        <f t="shared" si="38"/>
        <v>0</v>
      </c>
      <c r="E125" s="53">
        <f t="shared" si="37"/>
        <v>0</v>
      </c>
    </row>
    <row r="126" spans="1:5" ht="12" hidden="1" customHeight="1" x14ac:dyDescent="0.2">
      <c r="A126" s="53">
        <f t="shared" si="39"/>
        <v>0</v>
      </c>
      <c r="B126" s="53">
        <f>IF(Legislation!D$51&gt;Legislation!B$51*'Incorporation costs'!B64,Legislation!D$51,Legislation!B$51*'Incorporation costs'!B64)-IF(B64=0,Legislation!D$51,0)</f>
        <v>0</v>
      </c>
      <c r="C126" s="53">
        <f t="shared" si="36"/>
        <v>0</v>
      </c>
      <c r="D126" s="53">
        <f t="shared" si="38"/>
        <v>0</v>
      </c>
      <c r="E126" s="53">
        <f t="shared" si="37"/>
        <v>0</v>
      </c>
    </row>
    <row r="127" spans="1:5" ht="12" hidden="1" customHeight="1" x14ac:dyDescent="0.2">
      <c r="A127" s="53">
        <f t="shared" si="39"/>
        <v>0</v>
      </c>
      <c r="B127" s="53">
        <f>IF(Legislation!D$51&gt;Legislation!B$51*'Incorporation costs'!B65,Legislation!D$51,Legislation!B$51*'Incorporation costs'!B65)-IF(B65=0,Legislation!D$51,0)</f>
        <v>0</v>
      </c>
      <c r="C127" s="53">
        <f t="shared" si="36"/>
        <v>0</v>
      </c>
      <c r="D127" s="53">
        <f t="shared" si="38"/>
        <v>0</v>
      </c>
      <c r="E127" s="53">
        <f t="shared" si="37"/>
        <v>0</v>
      </c>
    </row>
    <row r="128" spans="1:5" ht="12" hidden="1" customHeight="1" x14ac:dyDescent="0.2">
      <c r="A128" s="53">
        <f t="shared" si="39"/>
        <v>0</v>
      </c>
      <c r="B128" s="53">
        <f>IF(Legislation!D$51&gt;Legislation!B$51*'Incorporation costs'!B66,Legislation!D$51,Legislation!B$51*'Incorporation costs'!B66)-IF(B66=0,Legislation!D$51,0)</f>
        <v>0</v>
      </c>
      <c r="C128" s="53">
        <f t="shared" si="36"/>
        <v>0</v>
      </c>
      <c r="D128" s="53">
        <f t="shared" si="38"/>
        <v>0</v>
      </c>
      <c r="E128" s="53">
        <f t="shared" si="37"/>
        <v>0</v>
      </c>
    </row>
    <row r="129" spans="1:6" ht="12" hidden="1" customHeight="1" x14ac:dyDescent="0.2">
      <c r="A129" s="53"/>
      <c r="B129" s="53"/>
      <c r="C129" s="53"/>
      <c r="E129" s="53"/>
    </row>
    <row r="130" spans="1:6" ht="12" hidden="1" customHeight="1" x14ac:dyDescent="0.2">
      <c r="A130" s="53"/>
      <c r="B130" s="53"/>
      <c r="C130" s="53"/>
      <c r="E130" s="53"/>
    </row>
    <row r="131" spans="1:6" ht="12" hidden="1" customHeight="1" x14ac:dyDescent="0.2">
      <c r="A131" s="53"/>
      <c r="B131" s="53"/>
      <c r="C131" s="53"/>
      <c r="E131" s="53"/>
    </row>
    <row r="132" spans="1:6" ht="12" hidden="1" customHeight="1" x14ac:dyDescent="0.2">
      <c r="A132" s="53">
        <f>SUM(A90:A131)</f>
        <v>24400</v>
      </c>
      <c r="B132" s="53">
        <f t="shared" ref="B132:D132" si="40">SUM(B90:B131)</f>
        <v>2500</v>
      </c>
      <c r="C132" s="53">
        <f t="shared" si="40"/>
        <v>738000</v>
      </c>
      <c r="D132" s="53">
        <f t="shared" si="40"/>
        <v>22760</v>
      </c>
      <c r="E132" s="53">
        <f>SUM(E90:E131)</f>
        <v>5</v>
      </c>
    </row>
    <row r="133" spans="1:6" ht="12" hidden="1" customHeight="1" x14ac:dyDescent="0.2">
      <c r="A133" s="53">
        <f>+(C133*B$74+IF(C133&gt;A$74,C133-A$74,0)*(B$75-B$74)+IF(C133&gt;A$75,C133-A$75,0)*(B$76-B$75)+IF(C133&gt;A$76,C133-A$76,0)*(B$77-B$76)+IF(C133&gt;A$77,C133-A$77,0)*(B$78-B$77))*IF(C133&lt;B$81,0,1)</f>
        <v>4880</v>
      </c>
      <c r="C133" s="53">
        <f>C132/E132</f>
        <v>147600</v>
      </c>
      <c r="D133" s="53" t="s">
        <v>208</v>
      </c>
      <c r="E133">
        <f>+(E74*C133+IF(C133&gt;D74,E75-E74,0)*(C133-D74)+IF(C133&gt;D75,E76-E75,0)*(C133-D75))*E132</f>
        <v>22140</v>
      </c>
      <c r="F133" t="s">
        <v>205</v>
      </c>
    </row>
    <row r="134" spans="1:6" ht="12" hidden="1" customHeight="1" x14ac:dyDescent="0.2">
      <c r="A134" s="53">
        <f>A133*E132</f>
        <v>24400</v>
      </c>
      <c r="B134" s="53"/>
      <c r="C134" s="53"/>
      <c r="D134" s="53"/>
      <c r="E134">
        <f>IF(E133&gt;C133*B79,E133,C133*B79)</f>
        <v>22140</v>
      </c>
      <c r="F134" t="s">
        <v>206</v>
      </c>
    </row>
    <row r="135" spans="1:6" ht="12" hidden="1" customHeight="1" x14ac:dyDescent="0.2">
      <c r="A135" s="53">
        <f>C132*B79</f>
        <v>7380</v>
      </c>
      <c r="B135" s="53"/>
      <c r="C135" s="53"/>
      <c r="D135" s="53"/>
    </row>
    <row r="136" spans="1:6" ht="12" hidden="1" customHeight="1" x14ac:dyDescent="0.2">
      <c r="A136" s="16" t="s">
        <v>187</v>
      </c>
      <c r="B136" s="23">
        <f>MAX(A134:A135)</f>
        <v>24400</v>
      </c>
      <c r="C136" s="16">
        <f>E132*E134</f>
        <v>110700</v>
      </c>
      <c r="D136" s="16"/>
    </row>
    <row r="137" spans="1:6" ht="12" hidden="1" customHeight="1" x14ac:dyDescent="0.2">
      <c r="A137" s="16"/>
      <c r="B137" s="16"/>
      <c r="C137" s="16"/>
      <c r="D137" s="115" t="s">
        <v>190</v>
      </c>
      <c r="E137" s="116" t="s">
        <v>195</v>
      </c>
    </row>
    <row r="138" spans="1:6" ht="12" hidden="1" customHeight="1" x14ac:dyDescent="0.2">
      <c r="A138" s="7" t="s">
        <v>188</v>
      </c>
      <c r="D138" s="114">
        <f>SUM(C$28:C$66)</f>
        <v>24400</v>
      </c>
      <c r="E138">
        <f>+E74*C132+IF(C132&gt;D74,E75-E74,0)*(C132-D74)+IF(C132&gt;D75,E76-E75,0)*(C132-D75)</f>
        <v>43660</v>
      </c>
    </row>
    <row r="139" spans="1:6" ht="12" hidden="1" customHeight="1" x14ac:dyDescent="0.2">
      <c r="A139" s="7" t="s">
        <v>189</v>
      </c>
      <c r="D139" s="113">
        <f>+E132*A133</f>
        <v>24400</v>
      </c>
      <c r="E139">
        <f>E133</f>
        <v>22140</v>
      </c>
    </row>
    <row r="140" spans="1:6" ht="12" hidden="1" customHeight="1" x14ac:dyDescent="0.2">
      <c r="A140" s="7" t="s">
        <v>196</v>
      </c>
      <c r="D140" s="22">
        <f>+IF(E$132&gt;Legislation!B$48-1,E138,10000000000)</f>
        <v>10000000000</v>
      </c>
      <c r="E140" s="16">
        <f>MIN(E138:E139)</f>
        <v>22140</v>
      </c>
    </row>
    <row r="141" spans="1:6" ht="12" hidden="1" customHeight="1" x14ac:dyDescent="0.2">
      <c r="A141" s="16"/>
      <c r="B141" s="16"/>
      <c r="C141" s="16"/>
      <c r="D141" s="22">
        <f>+IF(E$132&gt;Legislation!B$48-1,E139,100000000000)</f>
        <v>100000000000</v>
      </c>
    </row>
    <row r="142" spans="1:6" ht="12" hidden="1" customHeight="1" x14ac:dyDescent="0.2">
      <c r="A142" s="16"/>
      <c r="B142" s="16"/>
      <c r="C142" s="16"/>
      <c r="D142" s="16">
        <f>MIN(D138:D141)</f>
        <v>24400</v>
      </c>
    </row>
    <row r="143" spans="1:6" ht="12" hidden="1" customHeight="1" x14ac:dyDescent="0.2">
      <c r="A143" s="16"/>
      <c r="B143" s="16"/>
      <c r="C143" s="16"/>
      <c r="D143" s="16"/>
    </row>
    <row r="144" spans="1:6" x14ac:dyDescent="0.2">
      <c r="A144" s="16"/>
      <c r="B144" s="16"/>
      <c r="C144" s="16"/>
      <c r="D144" s="16"/>
    </row>
    <row r="145" spans="1:4" x14ac:dyDescent="0.2">
      <c r="A145" s="16"/>
      <c r="B145" s="16"/>
      <c r="C145" s="16"/>
      <c r="D145" s="16"/>
    </row>
    <row r="146" spans="1:4" x14ac:dyDescent="0.2">
      <c r="A146" s="16"/>
      <c r="B146" s="16"/>
      <c r="C146" s="16"/>
      <c r="D146" s="16"/>
    </row>
    <row r="147" spans="1:4" x14ac:dyDescent="0.2">
      <c r="A147" s="16"/>
      <c r="B147" s="16"/>
      <c r="C147" s="16"/>
      <c r="D147" s="16"/>
    </row>
    <row r="148" spans="1:4" x14ac:dyDescent="0.2">
      <c r="B148" s="16"/>
      <c r="C148" s="16"/>
      <c r="D148" s="16"/>
    </row>
    <row r="149" spans="1:4" x14ac:dyDescent="0.2">
      <c r="B149" s="16"/>
      <c r="C149" s="16"/>
      <c r="D149" s="16"/>
    </row>
    <row r="150" spans="1:4" x14ac:dyDescent="0.2">
      <c r="B150" s="16"/>
      <c r="C150" s="16"/>
      <c r="D150" s="16"/>
    </row>
    <row r="151" spans="1:4" x14ac:dyDescent="0.2">
      <c r="B151" s="16"/>
      <c r="C151" s="16"/>
      <c r="D151" s="16"/>
    </row>
    <row r="152" spans="1:4" x14ac:dyDescent="0.2">
      <c r="B152" s="16"/>
      <c r="C152" s="16"/>
      <c r="D152" s="16"/>
    </row>
    <row r="153" spans="1:4" x14ac:dyDescent="0.2">
      <c r="B153" s="16"/>
      <c r="C153" s="16"/>
      <c r="D153" s="16"/>
    </row>
    <row r="154" spans="1:4" x14ac:dyDescent="0.2">
      <c r="B154" s="16"/>
      <c r="C154" s="16"/>
      <c r="D154" s="16"/>
    </row>
    <row r="155" spans="1:4" x14ac:dyDescent="0.2">
      <c r="B155" s="16"/>
      <c r="C155" s="16"/>
      <c r="D155" s="16"/>
    </row>
    <row r="156" spans="1:4" x14ac:dyDescent="0.2">
      <c r="B156" s="16"/>
      <c r="C156" s="16"/>
      <c r="D156" s="16"/>
    </row>
    <row r="157" spans="1:4" x14ac:dyDescent="0.2">
      <c r="B157" s="16"/>
      <c r="C157" s="16"/>
      <c r="D157" s="16"/>
    </row>
    <row r="158" spans="1:4" x14ac:dyDescent="0.2">
      <c r="B158" s="16"/>
      <c r="C158" s="16"/>
      <c r="D158" s="16"/>
    </row>
    <row r="159" spans="1:4" x14ac:dyDescent="0.2">
      <c r="B159" s="16"/>
      <c r="C159" s="16"/>
      <c r="D159" s="16"/>
    </row>
    <row r="160" spans="1:4" x14ac:dyDescent="0.2">
      <c r="B160" s="16"/>
      <c r="C160" s="16"/>
      <c r="D160" s="16"/>
    </row>
    <row r="161" spans="2:4" x14ac:dyDescent="0.2">
      <c r="B161" s="16"/>
      <c r="C161" s="16"/>
      <c r="D161" s="16"/>
    </row>
    <row r="162" spans="2:4" x14ac:dyDescent="0.2">
      <c r="B162" s="16"/>
      <c r="C162" s="16"/>
      <c r="D162" s="16"/>
    </row>
    <row r="163" spans="2:4" x14ac:dyDescent="0.2">
      <c r="B163" s="16"/>
      <c r="C163" s="16"/>
      <c r="D163" s="16"/>
    </row>
    <row r="164" spans="2:4" x14ac:dyDescent="0.2">
      <c r="B164" s="16"/>
      <c r="C164" s="16"/>
      <c r="D164" s="16"/>
    </row>
    <row r="165" spans="2:4" x14ac:dyDescent="0.2">
      <c r="B165" s="16"/>
      <c r="C165" s="16"/>
      <c r="D165" s="16"/>
    </row>
    <row r="166" spans="2:4" x14ac:dyDescent="0.2">
      <c r="B166" s="16"/>
      <c r="C166" s="16"/>
      <c r="D166" s="16"/>
    </row>
    <row r="167" spans="2:4" x14ac:dyDescent="0.2">
      <c r="B167" s="16"/>
      <c r="C167" s="16"/>
      <c r="D167" s="16"/>
    </row>
    <row r="168" spans="2:4" x14ac:dyDescent="0.2">
      <c r="B168" s="16"/>
      <c r="C168" s="16"/>
      <c r="D168" s="16"/>
    </row>
    <row r="169" spans="2:4" x14ac:dyDescent="0.2">
      <c r="B169" s="16"/>
      <c r="C169" s="16"/>
      <c r="D169" s="16"/>
    </row>
    <row r="170" spans="2:4" x14ac:dyDescent="0.2">
      <c r="B170" s="16"/>
      <c r="C170" s="16"/>
      <c r="D170" s="16"/>
    </row>
    <row r="171" spans="2:4" x14ac:dyDescent="0.2">
      <c r="B171" s="16"/>
      <c r="C171" s="16"/>
      <c r="D171" s="16"/>
    </row>
    <row r="172" spans="2:4" x14ac:dyDescent="0.2">
      <c r="B172" s="16"/>
      <c r="C172" s="16"/>
      <c r="D172" s="16"/>
    </row>
    <row r="173" spans="2:4" x14ac:dyDescent="0.2">
      <c r="B173" s="16"/>
      <c r="C173" s="16"/>
      <c r="D173" s="16"/>
    </row>
    <row r="174" spans="2:4" x14ac:dyDescent="0.2">
      <c r="B174" s="16"/>
      <c r="C174" s="16"/>
      <c r="D174" s="16"/>
    </row>
    <row r="175" spans="2:4" x14ac:dyDescent="0.2">
      <c r="B175" s="16"/>
      <c r="C175" s="16"/>
      <c r="D175" s="16"/>
    </row>
    <row r="176" spans="2:4" x14ac:dyDescent="0.2">
      <c r="B176" s="16"/>
      <c r="C176" s="16"/>
      <c r="D176" s="16"/>
    </row>
    <row r="177" spans="1:4" x14ac:dyDescent="0.2">
      <c r="B177" s="16"/>
      <c r="C177" s="16"/>
      <c r="D177" s="16"/>
    </row>
    <row r="178" spans="1:4" x14ac:dyDescent="0.2">
      <c r="B178" s="16"/>
      <c r="C178" s="16"/>
      <c r="D178" s="16"/>
    </row>
    <row r="179" spans="1:4" x14ac:dyDescent="0.2">
      <c r="B179" s="16"/>
      <c r="C179" s="16"/>
      <c r="D179" s="16"/>
    </row>
    <row r="180" spans="1:4" x14ac:dyDescent="0.2">
      <c r="B180" s="16"/>
      <c r="C180" s="16"/>
      <c r="D180" s="16"/>
    </row>
    <row r="181" spans="1:4" x14ac:dyDescent="0.2">
      <c r="B181" s="16"/>
      <c r="C181" s="16"/>
      <c r="D181" s="16"/>
    </row>
    <row r="182" spans="1:4" x14ac:dyDescent="0.2">
      <c r="B182" s="16"/>
      <c r="C182" s="16"/>
      <c r="D182" s="16"/>
    </row>
    <row r="183" spans="1:4" x14ac:dyDescent="0.2">
      <c r="B183" s="16"/>
      <c r="C183" s="16"/>
      <c r="D183" s="16"/>
    </row>
    <row r="184" spans="1:4" x14ac:dyDescent="0.2">
      <c r="B184" s="16"/>
      <c r="C184" s="16"/>
      <c r="D184" s="16"/>
    </row>
    <row r="185" spans="1:4" x14ac:dyDescent="0.2">
      <c r="A185" s="16"/>
      <c r="B185" s="16"/>
      <c r="C185" s="16"/>
      <c r="D185" s="16"/>
    </row>
    <row r="186" spans="1:4" x14ac:dyDescent="0.2">
      <c r="A186" s="16"/>
      <c r="B186" s="16"/>
      <c r="C186" s="16"/>
      <c r="D186" s="16"/>
    </row>
    <row r="187" spans="1:4" x14ac:dyDescent="0.2">
      <c r="B187" s="16"/>
      <c r="C187" s="16"/>
      <c r="D187" s="16"/>
    </row>
    <row r="188" spans="1:4" x14ac:dyDescent="0.2">
      <c r="B188" s="16"/>
      <c r="C188" s="16"/>
      <c r="D188" s="16"/>
    </row>
    <row r="189" spans="1:4" x14ac:dyDescent="0.2">
      <c r="B189" s="16"/>
      <c r="C189" s="16"/>
      <c r="D189" s="16"/>
    </row>
    <row r="190" spans="1:4" x14ac:dyDescent="0.2">
      <c r="B190" s="16"/>
      <c r="C190" s="16"/>
      <c r="D190" s="16"/>
    </row>
    <row r="191" spans="1:4" x14ac:dyDescent="0.2">
      <c r="B191" s="16"/>
      <c r="C191" s="16"/>
      <c r="D191" s="16"/>
    </row>
    <row r="192" spans="1:4" x14ac:dyDescent="0.2">
      <c r="B192" s="16"/>
      <c r="C192" s="16"/>
      <c r="D192" s="16"/>
    </row>
    <row r="193" spans="2:4" x14ac:dyDescent="0.2">
      <c r="B193" s="16"/>
      <c r="C193" s="16"/>
      <c r="D193" s="16"/>
    </row>
    <row r="194" spans="2:4" x14ac:dyDescent="0.2">
      <c r="B194" s="16"/>
      <c r="C194" s="16"/>
      <c r="D194" s="16"/>
    </row>
    <row r="195" spans="2:4" x14ac:dyDescent="0.2">
      <c r="B195" s="16"/>
      <c r="C195" s="16"/>
      <c r="D195" s="16"/>
    </row>
    <row r="196" spans="2:4" x14ac:dyDescent="0.2">
      <c r="B196" s="16"/>
      <c r="C196" s="16"/>
      <c r="D196" s="16"/>
    </row>
    <row r="197" spans="2:4" x14ac:dyDescent="0.2">
      <c r="B197" s="16"/>
      <c r="C197" s="16"/>
      <c r="D197" s="16"/>
    </row>
    <row r="198" spans="2:4" x14ac:dyDescent="0.2">
      <c r="B198" s="16"/>
      <c r="C198" s="16"/>
      <c r="D198" s="16"/>
    </row>
    <row r="199" spans="2:4" x14ac:dyDescent="0.2">
      <c r="B199" s="16"/>
      <c r="C199" s="16"/>
      <c r="D199" s="16"/>
    </row>
    <row r="200" spans="2:4" x14ac:dyDescent="0.2">
      <c r="B200" s="16"/>
      <c r="C200" s="16"/>
      <c r="D200" s="16"/>
    </row>
    <row r="201" spans="2:4" x14ac:dyDescent="0.2">
      <c r="B201" s="16"/>
      <c r="C201" s="16"/>
      <c r="D201" s="16"/>
    </row>
    <row r="202" spans="2:4" x14ac:dyDescent="0.2">
      <c r="B202" s="16"/>
      <c r="C202" s="16"/>
      <c r="D202" s="16"/>
    </row>
    <row r="203" spans="2:4" x14ac:dyDescent="0.2">
      <c r="B203" s="16"/>
      <c r="C203" s="16"/>
      <c r="D203" s="16"/>
    </row>
    <row r="204" spans="2:4" x14ac:dyDescent="0.2">
      <c r="B204" s="16"/>
      <c r="C204" s="16"/>
      <c r="D204" s="16"/>
    </row>
    <row r="205" spans="2:4" x14ac:dyDescent="0.2">
      <c r="B205" s="16"/>
      <c r="C205" s="16"/>
      <c r="D205" s="16"/>
    </row>
    <row r="206" spans="2:4" x14ac:dyDescent="0.2">
      <c r="B206" s="16"/>
      <c r="C206" s="16"/>
      <c r="D206" s="16"/>
    </row>
    <row r="207" spans="2:4" x14ac:dyDescent="0.2">
      <c r="B207" s="16"/>
      <c r="C207" s="16"/>
      <c r="D207" s="16"/>
    </row>
    <row r="208" spans="2:4" x14ac:dyDescent="0.2">
      <c r="B208" s="16"/>
      <c r="C208" s="16"/>
      <c r="D208" s="16"/>
    </row>
    <row r="209" spans="2:4" x14ac:dyDescent="0.2">
      <c r="B209" s="16"/>
      <c r="C209" s="16"/>
      <c r="D209" s="16"/>
    </row>
    <row r="210" spans="2:4" x14ac:dyDescent="0.2">
      <c r="B210" s="16"/>
      <c r="C210" s="16"/>
      <c r="D210" s="16"/>
    </row>
    <row r="211" spans="2:4" x14ac:dyDescent="0.2">
      <c r="B211" s="16"/>
      <c r="C211" s="16"/>
      <c r="D211" s="16"/>
    </row>
    <row r="212" spans="2:4" x14ac:dyDescent="0.2">
      <c r="B212" s="16"/>
      <c r="C212" s="16"/>
      <c r="D212" s="16"/>
    </row>
    <row r="213" spans="2:4" x14ac:dyDescent="0.2">
      <c r="B213" s="16"/>
      <c r="C213" s="16"/>
      <c r="D213" s="16"/>
    </row>
    <row r="214" spans="2:4" x14ac:dyDescent="0.2">
      <c r="B214" s="16"/>
      <c r="C214" s="16"/>
      <c r="D214" s="16"/>
    </row>
    <row r="215" spans="2:4" x14ac:dyDescent="0.2">
      <c r="B215" s="16"/>
      <c r="C215" s="16"/>
      <c r="D215" s="16"/>
    </row>
    <row r="216" spans="2:4" x14ac:dyDescent="0.2">
      <c r="B216" s="16"/>
      <c r="C216" s="16"/>
      <c r="D216" s="16"/>
    </row>
    <row r="217" spans="2:4" x14ac:dyDescent="0.2">
      <c r="B217" s="16"/>
      <c r="C217" s="16"/>
      <c r="D217" s="16"/>
    </row>
    <row r="218" spans="2:4" x14ac:dyDescent="0.2">
      <c r="B218" s="16"/>
      <c r="C218" s="16"/>
      <c r="D218" s="16"/>
    </row>
    <row r="219" spans="2:4" x14ac:dyDescent="0.2">
      <c r="B219" s="16"/>
      <c r="C219" s="16"/>
      <c r="D219" s="16"/>
    </row>
    <row r="220" spans="2:4" x14ac:dyDescent="0.2">
      <c r="B220" s="16"/>
      <c r="C220" s="16"/>
      <c r="D220" s="16"/>
    </row>
    <row r="221" spans="2:4" x14ac:dyDescent="0.2">
      <c r="B221" s="16"/>
      <c r="C221" s="16"/>
      <c r="D221" s="16"/>
    </row>
    <row r="222" spans="2:4" x14ac:dyDescent="0.2">
      <c r="B222" s="16"/>
      <c r="C222" s="16"/>
      <c r="D222" s="16"/>
    </row>
    <row r="223" spans="2:4" x14ac:dyDescent="0.2">
      <c r="B223" s="16"/>
      <c r="C223" s="16"/>
      <c r="D223" s="16"/>
    </row>
    <row r="224" spans="2:4" x14ac:dyDescent="0.2">
      <c r="B224" s="16"/>
      <c r="C224" s="16"/>
      <c r="D224" s="16"/>
    </row>
    <row r="225" spans="2:4" x14ac:dyDescent="0.2">
      <c r="B225" s="16"/>
      <c r="C225" s="16"/>
      <c r="D225" s="16"/>
    </row>
    <row r="226" spans="2:4" x14ac:dyDescent="0.2">
      <c r="B226" s="16"/>
      <c r="C226" s="16"/>
      <c r="D226" s="16"/>
    </row>
    <row r="227" spans="2:4" x14ac:dyDescent="0.2">
      <c r="B227" s="16"/>
      <c r="C227" s="16"/>
      <c r="D227" s="16"/>
    </row>
    <row r="228" spans="2:4" x14ac:dyDescent="0.2">
      <c r="B228" s="16"/>
      <c r="C228" s="16"/>
      <c r="D228" s="16"/>
    </row>
    <row r="229" spans="2:4" x14ac:dyDescent="0.2">
      <c r="B229" s="16"/>
      <c r="C229" s="16"/>
      <c r="D229" s="16"/>
    </row>
    <row r="230" spans="2:4" x14ac:dyDescent="0.2">
      <c r="B230" s="16"/>
      <c r="C230" s="16"/>
      <c r="D230" s="16"/>
    </row>
    <row r="231" spans="2:4" x14ac:dyDescent="0.2">
      <c r="B231" s="16"/>
      <c r="C231" s="16"/>
      <c r="D231" s="16"/>
    </row>
    <row r="232" spans="2:4" x14ac:dyDescent="0.2">
      <c r="B232" s="16"/>
      <c r="C232" s="16"/>
      <c r="D232" s="16"/>
    </row>
    <row r="233" spans="2:4" x14ac:dyDescent="0.2">
      <c r="B233" s="16"/>
      <c r="C233" s="16"/>
      <c r="D233" s="16"/>
    </row>
    <row r="234" spans="2:4" x14ac:dyDescent="0.2">
      <c r="B234" s="16"/>
      <c r="C234" s="16"/>
      <c r="D234" s="16"/>
    </row>
    <row r="235" spans="2:4" x14ac:dyDescent="0.2">
      <c r="B235" s="16"/>
      <c r="C235" s="16"/>
      <c r="D235" s="16"/>
    </row>
    <row r="236" spans="2:4" x14ac:dyDescent="0.2">
      <c r="B236" s="16"/>
      <c r="C236" s="16"/>
      <c r="D236" s="16"/>
    </row>
    <row r="237" spans="2:4" x14ac:dyDescent="0.2">
      <c r="B237" s="16"/>
      <c r="C237" s="16"/>
      <c r="D237" s="16"/>
    </row>
    <row r="238" spans="2:4" x14ac:dyDescent="0.2">
      <c r="B238" s="16"/>
      <c r="C238" s="16"/>
      <c r="D238" s="16"/>
    </row>
    <row r="239" spans="2:4" x14ac:dyDescent="0.2">
      <c r="B239" s="16"/>
      <c r="C239" s="16"/>
      <c r="D239" s="16"/>
    </row>
    <row r="240" spans="2:4" x14ac:dyDescent="0.2">
      <c r="B240" s="16"/>
      <c r="C240" s="16"/>
      <c r="D240" s="16"/>
    </row>
    <row r="241" spans="2:4" x14ac:dyDescent="0.2">
      <c r="B241" s="16"/>
      <c r="C241" s="16"/>
      <c r="D241" s="16"/>
    </row>
    <row r="242" spans="2:4" x14ac:dyDescent="0.2">
      <c r="B242" s="16"/>
      <c r="C242" s="16"/>
      <c r="D242" s="16"/>
    </row>
    <row r="243" spans="2:4" x14ac:dyDescent="0.2">
      <c r="B243" s="16"/>
      <c r="C243" s="16"/>
      <c r="D243" s="16"/>
    </row>
    <row r="244" spans="2:4" x14ac:dyDescent="0.2">
      <c r="B244" s="16"/>
      <c r="C244" s="16"/>
      <c r="D244" s="16"/>
    </row>
    <row r="245" spans="2:4" x14ac:dyDescent="0.2">
      <c r="B245" s="16"/>
      <c r="C245" s="16"/>
      <c r="D245" s="16"/>
    </row>
    <row r="246" spans="2:4" x14ac:dyDescent="0.2">
      <c r="B246" s="16"/>
      <c r="C246" s="16"/>
      <c r="D246" s="16"/>
    </row>
    <row r="247" spans="2:4" x14ac:dyDescent="0.2">
      <c r="B247" s="16"/>
      <c r="C247" s="16"/>
      <c r="D247" s="16"/>
    </row>
    <row r="248" spans="2:4" x14ac:dyDescent="0.2">
      <c r="B248" s="16"/>
      <c r="C248" s="16"/>
      <c r="D248" s="16"/>
    </row>
    <row r="249" spans="2:4" x14ac:dyDescent="0.2">
      <c r="B249" s="16"/>
      <c r="C249" s="16"/>
      <c r="D249" s="16"/>
    </row>
    <row r="250" spans="2:4" x14ac:dyDescent="0.2">
      <c r="B250" s="16"/>
      <c r="C250" s="16"/>
      <c r="D250" s="16"/>
    </row>
    <row r="251" spans="2:4" x14ac:dyDescent="0.2">
      <c r="B251" s="16"/>
      <c r="C251" s="16"/>
      <c r="D251" s="16"/>
    </row>
    <row r="252" spans="2:4" x14ac:dyDescent="0.2">
      <c r="B252" s="16"/>
      <c r="C252" s="16"/>
      <c r="D252" s="16"/>
    </row>
    <row r="253" spans="2:4" x14ac:dyDescent="0.2">
      <c r="B253" s="16"/>
      <c r="C253" s="16"/>
      <c r="D253" s="16"/>
    </row>
    <row r="254" spans="2:4" x14ac:dyDescent="0.2">
      <c r="B254" s="16"/>
      <c r="C254" s="16"/>
      <c r="D254" s="16"/>
    </row>
    <row r="255" spans="2:4" x14ac:dyDescent="0.2">
      <c r="B255" s="16"/>
      <c r="C255" s="16"/>
      <c r="D255" s="16"/>
    </row>
    <row r="256" spans="2:4" x14ac:dyDescent="0.2">
      <c r="B256" s="16"/>
      <c r="C256" s="16"/>
      <c r="D256" s="16"/>
    </row>
    <row r="257" spans="2:4" x14ac:dyDescent="0.2">
      <c r="B257" s="16"/>
      <c r="C257" s="16"/>
      <c r="D257" s="16"/>
    </row>
    <row r="258" spans="2:4" x14ac:dyDescent="0.2">
      <c r="B258" s="16"/>
      <c r="C258" s="16"/>
      <c r="D258" s="16"/>
    </row>
    <row r="259" spans="2:4" x14ac:dyDescent="0.2">
      <c r="B259" s="16"/>
      <c r="C259" s="16"/>
      <c r="D259" s="16"/>
    </row>
    <row r="260" spans="2:4" x14ac:dyDescent="0.2">
      <c r="B260" s="16"/>
      <c r="C260" s="16"/>
      <c r="D260" s="16"/>
    </row>
    <row r="261" spans="2:4" x14ac:dyDescent="0.2">
      <c r="B261" s="16"/>
      <c r="C261" s="16"/>
      <c r="D261" s="16"/>
    </row>
    <row r="262" spans="2:4" x14ac:dyDescent="0.2">
      <c r="B262" s="16"/>
      <c r="C262" s="16"/>
      <c r="D262" s="16"/>
    </row>
    <row r="263" spans="2:4" x14ac:dyDescent="0.2">
      <c r="B263" s="16"/>
      <c r="C263" s="16"/>
      <c r="D263" s="16"/>
    </row>
    <row r="264" spans="2:4" x14ac:dyDescent="0.2">
      <c r="B264" s="16"/>
      <c r="C264" s="16"/>
      <c r="D264" s="16"/>
    </row>
    <row r="265" spans="2:4" x14ac:dyDescent="0.2">
      <c r="B265" s="16"/>
      <c r="C265" s="16"/>
      <c r="D265" s="16"/>
    </row>
    <row r="266" spans="2:4" x14ac:dyDescent="0.2">
      <c r="B266" s="16"/>
      <c r="C266" s="16"/>
      <c r="D266" s="16"/>
    </row>
    <row r="267" spans="2:4" x14ac:dyDescent="0.2">
      <c r="B267" s="16"/>
      <c r="C267" s="16"/>
      <c r="D267" s="16"/>
    </row>
    <row r="268" spans="2:4" x14ac:dyDescent="0.2">
      <c r="B268" s="16"/>
      <c r="C268" s="16"/>
      <c r="D268" s="16"/>
    </row>
    <row r="269" spans="2:4" x14ac:dyDescent="0.2">
      <c r="B269" s="16"/>
      <c r="C269" s="16"/>
      <c r="D269" s="16"/>
    </row>
    <row r="270" spans="2:4" x14ac:dyDescent="0.2">
      <c r="B270" s="16"/>
      <c r="C270" s="16"/>
      <c r="D270" s="16"/>
    </row>
    <row r="271" spans="2:4" x14ac:dyDescent="0.2">
      <c r="B271" s="16"/>
      <c r="C271" s="16"/>
      <c r="D271" s="16"/>
    </row>
    <row r="272" spans="2:4" x14ac:dyDescent="0.2">
      <c r="B272" s="16"/>
      <c r="C272" s="16"/>
      <c r="D272" s="16"/>
    </row>
    <row r="273" spans="2:4" x14ac:dyDescent="0.2">
      <c r="B273" s="16"/>
      <c r="C273" s="16"/>
      <c r="D273" s="16"/>
    </row>
    <row r="274" spans="2:4" x14ac:dyDescent="0.2">
      <c r="B274" s="16"/>
      <c r="C274" s="16"/>
      <c r="D274" s="16"/>
    </row>
    <row r="275" spans="2:4" x14ac:dyDescent="0.2">
      <c r="B275" s="16"/>
      <c r="C275" s="16"/>
      <c r="D275" s="16"/>
    </row>
    <row r="276" spans="2:4" x14ac:dyDescent="0.2">
      <c r="B276" s="16"/>
      <c r="C276" s="16"/>
      <c r="D276" s="16"/>
    </row>
    <row r="277" spans="2:4" x14ac:dyDescent="0.2">
      <c r="B277" s="16"/>
      <c r="C277" s="16"/>
      <c r="D277" s="16"/>
    </row>
    <row r="278" spans="2:4" x14ac:dyDescent="0.2">
      <c r="B278" s="16"/>
      <c r="C278" s="16"/>
      <c r="D278" s="16"/>
    </row>
    <row r="279" spans="2:4" x14ac:dyDescent="0.2">
      <c r="B279" s="16"/>
      <c r="C279" s="16"/>
      <c r="D279" s="16"/>
    </row>
    <row r="280" spans="2:4" x14ac:dyDescent="0.2">
      <c r="B280" s="16"/>
      <c r="C280" s="16"/>
      <c r="D280" s="16"/>
    </row>
    <row r="281" spans="2:4" x14ac:dyDescent="0.2">
      <c r="B281" s="16"/>
      <c r="C281" s="16"/>
      <c r="D281" s="16"/>
    </row>
    <row r="282" spans="2:4" x14ac:dyDescent="0.2">
      <c r="B282" s="16"/>
      <c r="C282" s="16"/>
      <c r="D282" s="16"/>
    </row>
    <row r="283" spans="2:4" x14ac:dyDescent="0.2">
      <c r="B283" s="16"/>
      <c r="C283" s="16"/>
      <c r="D283" s="16"/>
    </row>
    <row r="284" spans="2:4" x14ac:dyDescent="0.2">
      <c r="B284" s="16"/>
      <c r="C284" s="16"/>
      <c r="D284" s="16"/>
    </row>
    <row r="285" spans="2:4" x14ac:dyDescent="0.2">
      <c r="B285" s="16"/>
      <c r="C285" s="16"/>
      <c r="D285" s="16"/>
    </row>
    <row r="286" spans="2:4" x14ac:dyDescent="0.2">
      <c r="B286" s="16"/>
      <c r="C286" s="16"/>
      <c r="D286" s="16"/>
    </row>
    <row r="287" spans="2:4" x14ac:dyDescent="0.2">
      <c r="B287" s="16"/>
      <c r="C287" s="16"/>
      <c r="D287" s="16"/>
    </row>
    <row r="288" spans="2:4" x14ac:dyDescent="0.2">
      <c r="B288" s="16"/>
      <c r="C288" s="16"/>
      <c r="D288" s="16"/>
    </row>
    <row r="289" spans="2:4" x14ac:dyDescent="0.2">
      <c r="B289" s="16"/>
      <c r="C289" s="16"/>
      <c r="D289" s="16"/>
    </row>
    <row r="290" spans="2:4" x14ac:dyDescent="0.2">
      <c r="B290" s="16"/>
      <c r="C290" s="16"/>
      <c r="D290" s="16"/>
    </row>
    <row r="291" spans="2:4" x14ac:dyDescent="0.2">
      <c r="B291" s="16"/>
      <c r="C291" s="16"/>
      <c r="D291" s="16"/>
    </row>
    <row r="292" spans="2:4" x14ac:dyDescent="0.2">
      <c r="B292" s="16"/>
      <c r="C292" s="16"/>
      <c r="D292" s="16"/>
    </row>
    <row r="293" spans="2:4" x14ac:dyDescent="0.2">
      <c r="B293" s="16"/>
      <c r="C293" s="16"/>
      <c r="D293" s="16"/>
    </row>
    <row r="294" spans="2:4" x14ac:dyDescent="0.2">
      <c r="B294" s="16"/>
      <c r="C294" s="16"/>
      <c r="D294" s="16"/>
    </row>
    <row r="295" spans="2:4" x14ac:dyDescent="0.2">
      <c r="B295" s="16"/>
      <c r="C295" s="16"/>
      <c r="D295" s="16"/>
    </row>
    <row r="296" spans="2:4" x14ac:dyDescent="0.2">
      <c r="B296" s="16"/>
      <c r="C296" s="16"/>
      <c r="D296" s="16"/>
    </row>
    <row r="297" spans="2:4" x14ac:dyDescent="0.2">
      <c r="B297" s="16"/>
      <c r="C297" s="16"/>
      <c r="D297" s="16"/>
    </row>
    <row r="298" spans="2:4" x14ac:dyDescent="0.2">
      <c r="B298" s="16"/>
      <c r="C298" s="16"/>
      <c r="D298" s="16"/>
    </row>
    <row r="299" spans="2:4" x14ac:dyDescent="0.2">
      <c r="B299" s="16"/>
      <c r="C299" s="16"/>
      <c r="D299" s="16"/>
    </row>
    <row r="300" spans="2:4" x14ac:dyDescent="0.2">
      <c r="B300" s="16"/>
      <c r="C300" s="16"/>
      <c r="D300" s="16"/>
    </row>
    <row r="301" spans="2:4" x14ac:dyDescent="0.2">
      <c r="B301" s="16"/>
      <c r="C301" s="16"/>
      <c r="D301" s="16"/>
    </row>
    <row r="302" spans="2:4" x14ac:dyDescent="0.2">
      <c r="B302" s="16"/>
      <c r="C302" s="16"/>
      <c r="D302" s="16"/>
    </row>
    <row r="303" spans="2:4" x14ac:dyDescent="0.2">
      <c r="B303" s="16"/>
      <c r="C303" s="16"/>
      <c r="D303" s="16"/>
    </row>
    <row r="304" spans="2:4" x14ac:dyDescent="0.2">
      <c r="B304" s="16"/>
      <c r="C304" s="16"/>
      <c r="D304" s="16"/>
    </row>
    <row r="305" spans="2:4" x14ac:dyDescent="0.2">
      <c r="B305" s="16"/>
      <c r="C305" s="16"/>
      <c r="D305" s="16"/>
    </row>
    <row r="306" spans="2:4" x14ac:dyDescent="0.2">
      <c r="B306" s="16"/>
      <c r="C306" s="16"/>
      <c r="D306" s="16"/>
    </row>
    <row r="307" spans="2:4" x14ac:dyDescent="0.2">
      <c r="B307" s="16"/>
      <c r="C307" s="16"/>
      <c r="D307" s="16"/>
    </row>
    <row r="308" spans="2:4" x14ac:dyDescent="0.2">
      <c r="B308" s="16"/>
      <c r="C308" s="16"/>
      <c r="D308" s="16"/>
    </row>
    <row r="309" spans="2:4" x14ac:dyDescent="0.2">
      <c r="B309" s="16"/>
      <c r="C309" s="16"/>
      <c r="D309" s="16"/>
    </row>
    <row r="310" spans="2:4" x14ac:dyDescent="0.2">
      <c r="B310" s="16"/>
      <c r="C310" s="16"/>
      <c r="D310" s="16"/>
    </row>
    <row r="311" spans="2:4" x14ac:dyDescent="0.2">
      <c r="B311" s="16"/>
      <c r="C311" s="16"/>
      <c r="D311" s="16"/>
    </row>
    <row r="312" spans="2:4" x14ac:dyDescent="0.2">
      <c r="B312" s="16"/>
      <c r="C312" s="16"/>
      <c r="D312" s="16"/>
    </row>
    <row r="313" spans="2:4" x14ac:dyDescent="0.2">
      <c r="B313" s="16"/>
      <c r="C313" s="16"/>
      <c r="D313" s="16"/>
    </row>
    <row r="314" spans="2:4" x14ac:dyDescent="0.2">
      <c r="B314" s="16"/>
      <c r="C314" s="16"/>
      <c r="D314" s="16"/>
    </row>
    <row r="315" spans="2:4" x14ac:dyDescent="0.2">
      <c r="B315" s="16"/>
      <c r="C315" s="16"/>
      <c r="D315" s="16"/>
    </row>
    <row r="316" spans="2:4" x14ac:dyDescent="0.2">
      <c r="B316" s="16"/>
      <c r="C316" s="16"/>
      <c r="D316" s="16"/>
    </row>
    <row r="317" spans="2:4" x14ac:dyDescent="0.2">
      <c r="B317" s="16"/>
      <c r="C317" s="16"/>
      <c r="D317" s="16"/>
    </row>
    <row r="318" spans="2:4" x14ac:dyDescent="0.2">
      <c r="B318" s="16"/>
      <c r="C318" s="16"/>
      <c r="D318" s="16"/>
    </row>
    <row r="319" spans="2:4" x14ac:dyDescent="0.2">
      <c r="B319" s="16"/>
      <c r="C319" s="16"/>
      <c r="D319" s="16"/>
    </row>
    <row r="320" spans="2:4" x14ac:dyDescent="0.2">
      <c r="B320" s="16"/>
      <c r="C320" s="16"/>
      <c r="D320" s="16"/>
    </row>
    <row r="321" spans="2:4" x14ac:dyDescent="0.2">
      <c r="B321" s="16"/>
      <c r="C321" s="16"/>
      <c r="D321" s="16"/>
    </row>
    <row r="322" spans="2:4" x14ac:dyDescent="0.2">
      <c r="B322" s="16"/>
      <c r="C322" s="16"/>
      <c r="D322" s="16"/>
    </row>
    <row r="323" spans="2:4" x14ac:dyDescent="0.2">
      <c r="B323" s="16"/>
      <c r="C323" s="16"/>
      <c r="D323" s="16"/>
    </row>
    <row r="324" spans="2:4" x14ac:dyDescent="0.2">
      <c r="B324" s="16"/>
      <c r="C324" s="16"/>
      <c r="D324" s="16"/>
    </row>
    <row r="325" spans="2:4" x14ac:dyDescent="0.2">
      <c r="B325" s="16"/>
      <c r="C325" s="16"/>
      <c r="D325" s="16"/>
    </row>
    <row r="326" spans="2:4" x14ac:dyDescent="0.2">
      <c r="B326" s="16"/>
      <c r="C326" s="16"/>
      <c r="D326" s="16"/>
    </row>
    <row r="327" spans="2:4" x14ac:dyDescent="0.2">
      <c r="B327" s="16"/>
      <c r="C327" s="16"/>
      <c r="D327" s="16"/>
    </row>
    <row r="328" spans="2:4" x14ac:dyDescent="0.2">
      <c r="B328" s="16"/>
      <c r="C328" s="16"/>
      <c r="D328" s="16"/>
    </row>
    <row r="329" spans="2:4" x14ac:dyDescent="0.2">
      <c r="B329" s="16"/>
      <c r="C329" s="16"/>
      <c r="D329" s="16"/>
    </row>
    <row r="330" spans="2:4" x14ac:dyDescent="0.2">
      <c r="B330" s="16"/>
      <c r="C330" s="16"/>
      <c r="D330" s="16"/>
    </row>
    <row r="331" spans="2:4" x14ac:dyDescent="0.2">
      <c r="B331" s="16"/>
      <c r="C331" s="16"/>
      <c r="D331" s="16"/>
    </row>
    <row r="332" spans="2:4" x14ac:dyDescent="0.2">
      <c r="B332" s="16"/>
      <c r="C332" s="16"/>
      <c r="D332" s="16"/>
    </row>
    <row r="333" spans="2:4" x14ac:dyDescent="0.2">
      <c r="B333" s="16"/>
      <c r="C333" s="16"/>
      <c r="D333" s="16"/>
    </row>
    <row r="334" spans="2:4" x14ac:dyDescent="0.2">
      <c r="B334" s="16"/>
      <c r="C334" s="16"/>
      <c r="D334" s="16"/>
    </row>
    <row r="335" spans="2:4" x14ac:dyDescent="0.2">
      <c r="B335" s="16"/>
      <c r="C335" s="16"/>
      <c r="D335" s="16"/>
    </row>
    <row r="336" spans="2:4" x14ac:dyDescent="0.2">
      <c r="B336" s="16"/>
      <c r="C336" s="16"/>
      <c r="D336" s="16"/>
    </row>
    <row r="337" spans="2:4" x14ac:dyDescent="0.2">
      <c r="B337" s="16"/>
      <c r="C337" s="16"/>
      <c r="D337" s="16"/>
    </row>
    <row r="338" spans="2:4" x14ac:dyDescent="0.2">
      <c r="B338" s="16"/>
      <c r="C338" s="16"/>
      <c r="D338" s="16"/>
    </row>
    <row r="339" spans="2:4" x14ac:dyDescent="0.2">
      <c r="B339" s="16"/>
      <c r="C339" s="16"/>
      <c r="D339" s="16"/>
    </row>
    <row r="340" spans="2:4" x14ac:dyDescent="0.2">
      <c r="B340" s="16"/>
      <c r="C340" s="16"/>
      <c r="D340" s="16"/>
    </row>
    <row r="341" spans="2:4" x14ac:dyDescent="0.2">
      <c r="B341" s="16"/>
      <c r="C341" s="16"/>
      <c r="D341" s="16"/>
    </row>
    <row r="342" spans="2:4" x14ac:dyDescent="0.2">
      <c r="B342" s="16"/>
      <c r="C342" s="16"/>
      <c r="D342" s="16"/>
    </row>
    <row r="343" spans="2:4" x14ac:dyDescent="0.2">
      <c r="B343" s="16"/>
      <c r="C343" s="16"/>
      <c r="D343" s="16"/>
    </row>
    <row r="344" spans="2:4" x14ac:dyDescent="0.2">
      <c r="B344" s="16"/>
      <c r="C344" s="16"/>
      <c r="D344" s="16"/>
    </row>
    <row r="345" spans="2:4" x14ac:dyDescent="0.2">
      <c r="B345" s="16"/>
      <c r="C345" s="16"/>
      <c r="D345" s="16"/>
    </row>
    <row r="346" spans="2:4" x14ac:dyDescent="0.2">
      <c r="B346" s="16"/>
      <c r="C346" s="16"/>
      <c r="D346" s="16"/>
    </row>
    <row r="347" spans="2:4" x14ac:dyDescent="0.2">
      <c r="B347" s="16"/>
      <c r="C347" s="16"/>
      <c r="D347" s="16"/>
    </row>
    <row r="348" spans="2:4" x14ac:dyDescent="0.2">
      <c r="B348" s="16"/>
      <c r="C348" s="16"/>
      <c r="D348" s="16"/>
    </row>
    <row r="349" spans="2:4" x14ac:dyDescent="0.2">
      <c r="B349" s="16"/>
      <c r="C349" s="16"/>
      <c r="D349" s="16"/>
    </row>
    <row r="350" spans="2:4" x14ac:dyDescent="0.2">
      <c r="B350" s="16"/>
      <c r="C350" s="16"/>
      <c r="D350" s="16"/>
    </row>
    <row r="351" spans="2:4" x14ac:dyDescent="0.2">
      <c r="B351" s="16"/>
      <c r="C351" s="16"/>
      <c r="D351" s="16"/>
    </row>
    <row r="352" spans="2:4" x14ac:dyDescent="0.2">
      <c r="B352" s="16"/>
      <c r="C352" s="16"/>
      <c r="D352" s="16"/>
    </row>
    <row r="353" spans="2:4" x14ac:dyDescent="0.2">
      <c r="B353" s="16"/>
      <c r="C353" s="16"/>
      <c r="D353" s="16"/>
    </row>
    <row r="354" spans="2:4" x14ac:dyDescent="0.2">
      <c r="B354" s="16"/>
      <c r="C354" s="16"/>
      <c r="D354" s="16"/>
    </row>
    <row r="355" spans="2:4" x14ac:dyDescent="0.2">
      <c r="B355" s="16"/>
      <c r="C355" s="16"/>
      <c r="D355" s="16"/>
    </row>
    <row r="356" spans="2:4" x14ac:dyDescent="0.2">
      <c r="B356" s="16"/>
      <c r="C356" s="16"/>
      <c r="D356" s="16"/>
    </row>
    <row r="357" spans="2:4" x14ac:dyDescent="0.2">
      <c r="B357" s="16"/>
      <c r="C357" s="16"/>
      <c r="D357" s="16"/>
    </row>
    <row r="358" spans="2:4" x14ac:dyDescent="0.2">
      <c r="B358" s="16"/>
      <c r="C358" s="16"/>
      <c r="D358" s="16"/>
    </row>
    <row r="359" spans="2:4" x14ac:dyDescent="0.2">
      <c r="B359" s="16"/>
      <c r="C359" s="16"/>
      <c r="D359" s="16"/>
    </row>
    <row r="360" spans="2:4" x14ac:dyDescent="0.2">
      <c r="B360" s="16"/>
      <c r="C360" s="16"/>
      <c r="D360" s="16"/>
    </row>
    <row r="361" spans="2:4" x14ac:dyDescent="0.2">
      <c r="B361" s="16"/>
      <c r="C361" s="16"/>
      <c r="D361" s="16"/>
    </row>
    <row r="362" spans="2:4" x14ac:dyDescent="0.2">
      <c r="B362" s="16"/>
      <c r="C362" s="16"/>
      <c r="D362" s="16"/>
    </row>
    <row r="363" spans="2:4" x14ac:dyDescent="0.2">
      <c r="B363" s="16"/>
      <c r="C363" s="16"/>
      <c r="D363" s="16"/>
    </row>
    <row r="364" spans="2:4" x14ac:dyDescent="0.2">
      <c r="B364" s="16"/>
      <c r="C364" s="16"/>
      <c r="D364" s="16"/>
    </row>
    <row r="365" spans="2:4" x14ac:dyDescent="0.2">
      <c r="B365" s="16"/>
      <c r="C365" s="16"/>
      <c r="D365" s="16"/>
    </row>
    <row r="366" spans="2:4" x14ac:dyDescent="0.2">
      <c r="B366" s="16"/>
      <c r="C366" s="16"/>
      <c r="D366" s="16"/>
    </row>
    <row r="367" spans="2:4" x14ac:dyDescent="0.2">
      <c r="B367" s="16"/>
      <c r="C367" s="16"/>
      <c r="D367" s="16"/>
    </row>
    <row r="368" spans="2:4" x14ac:dyDescent="0.2">
      <c r="B368" s="16"/>
      <c r="C368" s="16"/>
      <c r="D368" s="16"/>
    </row>
    <row r="369" spans="2:4" x14ac:dyDescent="0.2">
      <c r="B369" s="16"/>
      <c r="C369" s="16"/>
      <c r="D369" s="16"/>
    </row>
    <row r="370" spans="2:4" x14ac:dyDescent="0.2">
      <c r="B370" s="16"/>
      <c r="C370" s="16"/>
      <c r="D370" s="16"/>
    </row>
    <row r="371" spans="2:4" x14ac:dyDescent="0.2">
      <c r="B371" s="16"/>
      <c r="C371" s="16"/>
      <c r="D371" s="16"/>
    </row>
    <row r="372" spans="2:4" x14ac:dyDescent="0.2">
      <c r="B372" s="16"/>
      <c r="C372" s="16"/>
      <c r="D372" s="16"/>
    </row>
    <row r="373" spans="2:4" x14ac:dyDescent="0.2">
      <c r="B373" s="16"/>
      <c r="C373" s="16"/>
      <c r="D373" s="16"/>
    </row>
    <row r="374" spans="2:4" x14ac:dyDescent="0.2">
      <c r="B374" s="16"/>
      <c r="C374" s="16"/>
      <c r="D374" s="16"/>
    </row>
    <row r="375" spans="2:4" x14ac:dyDescent="0.2">
      <c r="B375" s="16"/>
      <c r="C375" s="16"/>
      <c r="D375" s="16"/>
    </row>
    <row r="376" spans="2:4" x14ac:dyDescent="0.2">
      <c r="B376" s="16"/>
      <c r="C376" s="16"/>
      <c r="D376" s="16"/>
    </row>
    <row r="377" spans="2:4" x14ac:dyDescent="0.2">
      <c r="B377" s="16"/>
      <c r="C377" s="16"/>
      <c r="D377" s="16"/>
    </row>
    <row r="378" spans="2:4" x14ac:dyDescent="0.2">
      <c r="B378" s="16"/>
      <c r="C378" s="16"/>
      <c r="D378" s="16"/>
    </row>
    <row r="379" spans="2:4" x14ac:dyDescent="0.2">
      <c r="B379" s="16"/>
      <c r="C379" s="16"/>
      <c r="D379" s="16"/>
    </row>
    <row r="380" spans="2:4" x14ac:dyDescent="0.2">
      <c r="B380" s="16"/>
      <c r="C380" s="16"/>
      <c r="D380" s="16"/>
    </row>
    <row r="381" spans="2:4" x14ac:dyDescent="0.2">
      <c r="B381" s="16"/>
      <c r="C381" s="16"/>
      <c r="D381" s="16"/>
    </row>
    <row r="382" spans="2:4" x14ac:dyDescent="0.2">
      <c r="B382" s="16"/>
      <c r="C382" s="16"/>
      <c r="D382" s="16"/>
    </row>
    <row r="383" spans="2:4" x14ac:dyDescent="0.2">
      <c r="B383" s="16"/>
      <c r="C383" s="16"/>
      <c r="D383" s="16"/>
    </row>
    <row r="384" spans="2:4" x14ac:dyDescent="0.2">
      <c r="B384" s="16"/>
      <c r="C384" s="16"/>
      <c r="D384" s="16"/>
    </row>
    <row r="385" spans="2:4" x14ac:dyDescent="0.2">
      <c r="B385" s="16"/>
      <c r="C385" s="16"/>
      <c r="D385" s="16"/>
    </row>
    <row r="386" spans="2:4" x14ac:dyDescent="0.2">
      <c r="B386" s="16"/>
      <c r="C386" s="16"/>
      <c r="D386" s="16"/>
    </row>
    <row r="387" spans="2:4" x14ac:dyDescent="0.2">
      <c r="B387" s="16"/>
      <c r="C387" s="16"/>
      <c r="D387" s="16"/>
    </row>
    <row r="388" spans="2:4" x14ac:dyDescent="0.2">
      <c r="B388" s="16"/>
      <c r="C388" s="16"/>
      <c r="D388" s="16"/>
    </row>
    <row r="389" spans="2:4" x14ac:dyDescent="0.2">
      <c r="B389" s="16"/>
      <c r="C389" s="16"/>
      <c r="D389" s="16"/>
    </row>
  </sheetData>
  <sheetProtection algorithmName="SHA-512" hashValue="mTarT9Vk0kdbzoaEkHmchttGmVKWX8dxShPvLBkYsuzVgZbjw9FkpnZtjs2RjBglztlrrdFyk9cklGjtiZr/dw==" saltValue="AySt3WdaOoSAZi3K+9xGYg==" spinCount="100000" sheet="1" objects="1" scenarios="1"/>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0"/>
  <sheetViews>
    <sheetView zoomScale="85" zoomScaleNormal="85" workbookViewId="0">
      <selection activeCell="A194" sqref="A45:XFD194"/>
    </sheetView>
  </sheetViews>
  <sheetFormatPr defaultRowHeight="12.75" x14ac:dyDescent="0.2"/>
  <cols>
    <col min="1" max="1" width="37.625" customWidth="1"/>
    <col min="2" max="2" width="5.75" customWidth="1"/>
    <col min="3" max="3" width="9.75" style="63" customWidth="1"/>
    <col min="4" max="7" width="10" customWidth="1"/>
    <col min="8" max="8" width="6.625" style="26" customWidth="1"/>
    <col min="9" max="13" width="10.375" customWidth="1"/>
  </cols>
  <sheetData>
    <row r="1" spans="1:16" ht="19.5" x14ac:dyDescent="0.25">
      <c r="A1" s="9" t="s">
        <v>9</v>
      </c>
      <c r="B1" s="9"/>
      <c r="C1" s="55" t="s">
        <v>39</v>
      </c>
      <c r="D1" s="9"/>
      <c r="E1" s="9"/>
      <c r="F1" s="9"/>
      <c r="G1" s="9"/>
      <c r="H1" s="7"/>
      <c r="I1" s="9" t="s">
        <v>18</v>
      </c>
      <c r="J1" s="9"/>
      <c r="K1" s="9"/>
    </row>
    <row r="2" spans="1:16" ht="31.5" customHeight="1" thickBot="1" x14ac:dyDescent="0.3">
      <c r="A2" s="10" t="s">
        <v>32</v>
      </c>
      <c r="B2" s="34"/>
      <c r="C2" s="56" t="str">
        <f>Legislation!B8</f>
        <v>2016/17</v>
      </c>
      <c r="D2" s="8" t="str">
        <f>Legislation!C8</f>
        <v>2017/18</v>
      </c>
      <c r="E2" s="8" t="str">
        <f>Legislation!D8</f>
        <v>2018/19</v>
      </c>
      <c r="F2" s="8" t="str">
        <f>Legislation!E8</f>
        <v>2019/20</v>
      </c>
      <c r="G2" s="8" t="str">
        <f>Legislation!F8</f>
        <v>2020/21</v>
      </c>
      <c r="I2" s="8" t="str">
        <f t="shared" ref="I2:M4" si="0">C2</f>
        <v>2016/17</v>
      </c>
      <c r="J2" s="8" t="str">
        <f t="shared" si="0"/>
        <v>2017/18</v>
      </c>
      <c r="K2" s="8" t="str">
        <f t="shared" si="0"/>
        <v>2018/19</v>
      </c>
      <c r="L2" s="8" t="str">
        <f t="shared" si="0"/>
        <v>2019/20</v>
      </c>
      <c r="M2" s="8" t="str">
        <f t="shared" si="0"/>
        <v>2020/21</v>
      </c>
    </row>
    <row r="3" spans="1:16" ht="14.25" thickTop="1" thickBot="1" x14ac:dyDescent="0.25">
      <c r="A3" t="s">
        <v>11</v>
      </c>
      <c r="B3" s="3"/>
      <c r="C3" s="57">
        <f>Summary!E4</f>
        <v>18000</v>
      </c>
      <c r="D3" s="51">
        <f>C3</f>
        <v>18000</v>
      </c>
      <c r="E3" s="51">
        <f t="shared" ref="E3:G3" si="1">D3</f>
        <v>18000</v>
      </c>
      <c r="F3" s="51">
        <f t="shared" si="1"/>
        <v>18000</v>
      </c>
      <c r="G3" s="51">
        <f t="shared" si="1"/>
        <v>18000</v>
      </c>
      <c r="H3" s="52"/>
      <c r="I3" s="51">
        <f t="shared" si="0"/>
        <v>18000</v>
      </c>
      <c r="J3" s="51">
        <f t="shared" si="0"/>
        <v>18000</v>
      </c>
      <c r="K3" s="51">
        <f t="shared" si="0"/>
        <v>18000</v>
      </c>
      <c r="L3" s="51">
        <f t="shared" si="0"/>
        <v>18000</v>
      </c>
      <c r="M3" s="51">
        <f t="shared" si="0"/>
        <v>18000</v>
      </c>
      <c r="N3" s="5"/>
      <c r="O3" s="5"/>
      <c r="P3" s="5"/>
    </row>
    <row r="4" spans="1:16" ht="14.25" thickTop="1" thickBot="1" x14ac:dyDescent="0.25">
      <c r="A4" t="s">
        <v>12</v>
      </c>
      <c r="B4" s="33" t="s">
        <v>83</v>
      </c>
      <c r="C4" s="57">
        <f>Summary!E5</f>
        <v>-2000</v>
      </c>
      <c r="D4" s="51">
        <f t="shared" ref="D4:G5" si="2">C4</f>
        <v>-2000</v>
      </c>
      <c r="E4" s="51">
        <f t="shared" si="2"/>
        <v>-2000</v>
      </c>
      <c r="F4" s="51">
        <f t="shared" si="2"/>
        <v>-2000</v>
      </c>
      <c r="G4" s="51">
        <f t="shared" si="2"/>
        <v>-2000</v>
      </c>
      <c r="H4" s="52"/>
      <c r="I4" s="51">
        <f t="shared" si="0"/>
        <v>-2000</v>
      </c>
      <c r="J4" s="51">
        <f t="shared" si="0"/>
        <v>-2000</v>
      </c>
      <c r="K4" s="51">
        <f t="shared" si="0"/>
        <v>-2000</v>
      </c>
      <c r="L4" s="51">
        <f t="shared" si="0"/>
        <v>-2000</v>
      </c>
      <c r="M4" s="51">
        <f t="shared" si="0"/>
        <v>-2000</v>
      </c>
      <c r="N4" s="5"/>
      <c r="O4" s="35" t="str">
        <f>+IF(C4&gt;0,"Error - cell C4 should be negative","")</f>
        <v/>
      </c>
      <c r="P4" s="5"/>
    </row>
    <row r="5" spans="1:16" ht="14.25" thickTop="1" thickBot="1" x14ac:dyDescent="0.25">
      <c r="A5" t="s">
        <v>13</v>
      </c>
      <c r="B5" s="3" t="str">
        <f>B4</f>
        <v>-ve</v>
      </c>
      <c r="C5" s="57">
        <f>Summary!E6</f>
        <v>-10000</v>
      </c>
      <c r="D5" s="51">
        <f t="shared" si="2"/>
        <v>-10000</v>
      </c>
      <c r="E5" s="51">
        <f t="shared" si="2"/>
        <v>-10000</v>
      </c>
      <c r="F5" s="51">
        <f t="shared" si="2"/>
        <v>-10000</v>
      </c>
      <c r="G5" s="51">
        <f t="shared" si="2"/>
        <v>-10000</v>
      </c>
      <c r="H5" s="52"/>
      <c r="I5" s="51">
        <f>C5*(Legislation!$F53+Legislation!$B53)/Legislation!$F53</f>
        <v>-11000</v>
      </c>
      <c r="J5" s="51">
        <f>D5*(Legislation!$F53+Legislation!$B53)/Legislation!$F53</f>
        <v>-11000</v>
      </c>
      <c r="K5" s="51">
        <f>E5*(Legislation!$F53+Legislation!$B53)/Legislation!$F53</f>
        <v>-11000</v>
      </c>
      <c r="L5" s="51">
        <f>F5*(Legislation!$F53+Legislation!$B53)/Legislation!$F53</f>
        <v>-11000</v>
      </c>
      <c r="M5" s="51">
        <f>G5*(Legislation!$F53+Legislation!$B53)/Legislation!$F53</f>
        <v>-11000</v>
      </c>
      <c r="N5" s="5"/>
      <c r="O5" s="35" t="str">
        <f>+IF(C5&gt;0,"Error - cell C5 should be negative","")</f>
        <v/>
      </c>
      <c r="P5" s="5"/>
    </row>
    <row r="6" spans="1:16" ht="13.5" thickTop="1" x14ac:dyDescent="0.2">
      <c r="A6" t="s">
        <v>23</v>
      </c>
      <c r="C6" s="57">
        <f>SUM(C3:C5)</f>
        <v>6000</v>
      </c>
      <c r="D6" s="16">
        <f t="shared" ref="D6:G6" si="3">SUM(D3:D5)</f>
        <v>6000</v>
      </c>
      <c r="E6" s="16">
        <f t="shared" si="3"/>
        <v>6000</v>
      </c>
      <c r="F6" s="16">
        <f t="shared" si="3"/>
        <v>6000</v>
      </c>
      <c r="G6" s="16">
        <f t="shared" si="3"/>
        <v>6000</v>
      </c>
      <c r="H6" s="27"/>
      <c r="I6" s="16"/>
      <c r="J6" s="16"/>
      <c r="K6" s="16"/>
      <c r="L6" s="16"/>
      <c r="M6" s="16"/>
      <c r="N6" s="5"/>
      <c r="O6" s="5"/>
      <c r="P6" s="5"/>
    </row>
    <row r="7" spans="1:16" x14ac:dyDescent="0.2">
      <c r="A7" t="s">
        <v>19</v>
      </c>
      <c r="C7" s="58"/>
      <c r="D7" s="16"/>
      <c r="E7" s="16"/>
      <c r="F7" s="16"/>
      <c r="G7" s="16"/>
      <c r="H7" s="27"/>
      <c r="I7" s="16">
        <f>-(Legislation!$C54+Legislation!$E54*I3/100)*IF(I3&gt;0,1,0)</f>
        <v>-190</v>
      </c>
      <c r="J7" s="16">
        <f>-(Legislation!$C54+Legislation!$E54*J3/100)*IF(J3&gt;0,1,0)</f>
        <v>-190</v>
      </c>
      <c r="K7" s="16">
        <f>-(Legislation!$C54+Legislation!$E54*K3/100)*IF(K3&gt;0,1,0)</f>
        <v>-190</v>
      </c>
      <c r="L7" s="16">
        <f>-(Legislation!$C54+Legislation!$E54*L3/100)*IF(L3&gt;0,1,0)</f>
        <v>-190</v>
      </c>
      <c r="M7" s="16">
        <f>-(Legislation!$C54+Legislation!$E54*M3/100)*IF(M3&gt;0,1,0)</f>
        <v>-190</v>
      </c>
      <c r="N7" s="5"/>
      <c r="O7" s="5"/>
      <c r="P7" s="5"/>
    </row>
    <row r="8" spans="1:16" s="12" customFormat="1" x14ac:dyDescent="0.2">
      <c r="A8" s="12" t="s">
        <v>130</v>
      </c>
      <c r="C8" s="59"/>
      <c r="D8" s="17"/>
      <c r="E8" s="17"/>
      <c r="F8" s="17"/>
      <c r="G8" s="17"/>
      <c r="H8" s="17"/>
      <c r="I8" s="17">
        <f>SUM(I3:I7)</f>
        <v>4810</v>
      </c>
      <c r="J8" s="17">
        <f t="shared" ref="J8:M8" si="4">SUM(J3:J7)</f>
        <v>4810</v>
      </c>
      <c r="K8" s="17">
        <f t="shared" si="4"/>
        <v>4810</v>
      </c>
      <c r="L8" s="17">
        <f t="shared" si="4"/>
        <v>4810</v>
      </c>
      <c r="M8" s="17">
        <f t="shared" si="4"/>
        <v>4810</v>
      </c>
      <c r="N8" s="13"/>
      <c r="O8" s="13"/>
      <c r="P8" s="13"/>
    </row>
    <row r="9" spans="1:16" x14ac:dyDescent="0.2">
      <c r="A9" t="s">
        <v>134</v>
      </c>
      <c r="C9" s="58"/>
      <c r="D9" s="16"/>
      <c r="E9" s="16"/>
      <c r="F9" s="16"/>
      <c r="G9" s="16"/>
      <c r="H9" s="27"/>
      <c r="I9" s="16">
        <f>-I91</f>
        <v>0</v>
      </c>
      <c r="J9" s="16">
        <f t="shared" ref="J9:M9" si="5">-J91</f>
        <v>0</v>
      </c>
      <c r="K9" s="16">
        <f t="shared" si="5"/>
        <v>0</v>
      </c>
      <c r="L9" s="16">
        <f t="shared" si="5"/>
        <v>0</v>
      </c>
      <c r="M9" s="16">
        <f t="shared" si="5"/>
        <v>0</v>
      </c>
      <c r="N9" s="5"/>
      <c r="O9" s="5"/>
      <c r="P9" s="5"/>
    </row>
    <row r="10" spans="1:16" x14ac:dyDescent="0.2">
      <c r="A10" t="s">
        <v>135</v>
      </c>
      <c r="C10" s="58"/>
      <c r="D10" s="16"/>
      <c r="E10" s="16"/>
      <c r="F10" s="16"/>
      <c r="G10" s="16"/>
      <c r="H10" s="27"/>
      <c r="I10" s="16">
        <f>-I92</f>
        <v>0</v>
      </c>
      <c r="J10" s="16">
        <f>-J92</f>
        <v>0</v>
      </c>
      <c r="K10" s="16">
        <f>-K92</f>
        <v>0</v>
      </c>
      <c r="L10" s="16">
        <f>-L92</f>
        <v>0</v>
      </c>
      <c r="M10" s="16">
        <f>-M92</f>
        <v>0</v>
      </c>
      <c r="N10" s="5"/>
      <c r="O10" s="5"/>
      <c r="P10" s="5"/>
    </row>
    <row r="11" spans="1:16" s="12" customFormat="1" x14ac:dyDescent="0.2">
      <c r="A11" s="12" t="s">
        <v>131</v>
      </c>
      <c r="C11" s="59"/>
      <c r="D11" s="17"/>
      <c r="E11" s="17"/>
      <c r="F11" s="17"/>
      <c r="G11" s="17"/>
      <c r="H11" s="17"/>
      <c r="I11" s="17">
        <f>I8+I9+I10</f>
        <v>4810</v>
      </c>
      <c r="J11" s="17">
        <f>J8+J9+J10</f>
        <v>4810</v>
      </c>
      <c r="K11" s="17">
        <f>K8+K9+K10</f>
        <v>4810</v>
      </c>
      <c r="L11" s="17">
        <f>L8+L9+L10</f>
        <v>4810</v>
      </c>
      <c r="M11" s="17">
        <f>M8+M9+M10</f>
        <v>4810</v>
      </c>
      <c r="N11" s="13"/>
      <c r="O11" s="13"/>
      <c r="P11" s="13"/>
    </row>
    <row r="12" spans="1:16" x14ac:dyDescent="0.2">
      <c r="A12" t="s">
        <v>20</v>
      </c>
      <c r="C12" s="58"/>
      <c r="D12" s="16"/>
      <c r="E12" s="16"/>
      <c r="F12" s="16"/>
      <c r="G12" s="16"/>
      <c r="H12" s="27"/>
      <c r="I12" s="16">
        <f>+IF(I11&gt;0,-Legislation!B26*'Income and Tax'!I11,0)</f>
        <v>-962</v>
      </c>
      <c r="J12" s="16">
        <f>+IF(J11&gt;0,-Legislation!C26*'Income and Tax'!J11,0)</f>
        <v>-913.9</v>
      </c>
      <c r="K12" s="16">
        <f>+IF(K11&gt;0,-Legislation!D26*'Income and Tax'!K11,0)</f>
        <v>-913.9</v>
      </c>
      <c r="L12" s="16">
        <f>+IF(L11&gt;0,-Legislation!E26*'Income and Tax'!L11,0)</f>
        <v>-913.9</v>
      </c>
      <c r="M12" s="16">
        <f>+IF(M11&gt;0,-Legislation!F26*'Income and Tax'!M11,0)</f>
        <v>-817.7</v>
      </c>
      <c r="N12" s="5"/>
      <c r="O12" s="5"/>
      <c r="P12" s="5"/>
    </row>
    <row r="13" spans="1:16" s="12" customFormat="1" x14ac:dyDescent="0.2">
      <c r="A13" s="12" t="s">
        <v>21</v>
      </c>
      <c r="C13" s="59"/>
      <c r="D13" s="17"/>
      <c r="E13" s="17"/>
      <c r="F13" s="17"/>
      <c r="G13" s="17"/>
      <c r="H13" s="17"/>
      <c r="I13" s="17">
        <f>I11+I12</f>
        <v>3848</v>
      </c>
      <c r="J13" s="17">
        <f>J11+J12</f>
        <v>3896.1</v>
      </c>
      <c r="K13" s="17">
        <f>K11+K12</f>
        <v>3896.1</v>
      </c>
      <c r="L13" s="17">
        <f>L11+L12</f>
        <v>3896.1</v>
      </c>
      <c r="M13" s="17">
        <f>M11+M12</f>
        <v>3992.3</v>
      </c>
      <c r="N13" s="13"/>
      <c r="O13" s="13"/>
      <c r="P13" s="13"/>
    </row>
    <row r="14" spans="1:16" x14ac:dyDescent="0.2">
      <c r="A14" t="s">
        <v>64</v>
      </c>
      <c r="B14" s="91">
        <f>Summary!E15</f>
        <v>0.85</v>
      </c>
      <c r="C14" s="58"/>
      <c r="D14" s="16"/>
      <c r="E14" s="16"/>
      <c r="F14" s="16"/>
      <c r="G14" s="16"/>
      <c r="I14" s="16">
        <f>-$B14*IF('Income and Tax'!I13&gt;0,I13,0)</f>
        <v>-3270.7999999999997</v>
      </c>
      <c r="J14" s="16">
        <f>-$B14*IF('Income and Tax'!J13&gt;0,J13,0)</f>
        <v>-3311.6849999999999</v>
      </c>
      <c r="K14" s="16">
        <f>-$B14*IF('Income and Tax'!K13&gt;0,K13,0)</f>
        <v>-3311.6849999999999</v>
      </c>
      <c r="L14" s="16">
        <f>-$B14*IF('Income and Tax'!L13&gt;0,L13,0)</f>
        <v>-3311.6849999999999</v>
      </c>
      <c r="M14" s="16">
        <f>-$B14*IF('Income and Tax'!M13&gt;0,M13,0)</f>
        <v>-3393.4549999999999</v>
      </c>
      <c r="N14" s="5"/>
      <c r="O14" s="35" t="str">
        <f>+IF(B14&gt;1,"Error - cell b11 should be less than or equal to 100%","")</f>
        <v/>
      </c>
      <c r="P14" s="5"/>
    </row>
    <row r="15" spans="1:16" s="12" customFormat="1" x14ac:dyDescent="0.2">
      <c r="A15" s="12" t="s">
        <v>22</v>
      </c>
      <c r="C15" s="59"/>
      <c r="D15" s="17"/>
      <c r="E15" s="17"/>
      <c r="F15" s="17"/>
      <c r="G15" s="17"/>
      <c r="H15" s="17"/>
      <c r="I15" s="17">
        <f>I13+I14</f>
        <v>577.20000000000027</v>
      </c>
      <c r="J15" s="17">
        <f t="shared" ref="J15:M15" si="6">J13+J14</f>
        <v>584.41499999999996</v>
      </c>
      <c r="K15" s="17">
        <f t="shared" si="6"/>
        <v>584.41499999999996</v>
      </c>
      <c r="L15" s="17">
        <f t="shared" si="6"/>
        <v>584.41499999999996</v>
      </c>
      <c r="M15" s="17">
        <f t="shared" si="6"/>
        <v>598.84500000000025</v>
      </c>
      <c r="N15" s="13"/>
      <c r="O15" s="13"/>
      <c r="P15" s="13"/>
    </row>
    <row r="16" spans="1:16" x14ac:dyDescent="0.2">
      <c r="C16" s="58"/>
      <c r="D16" s="16"/>
      <c r="E16" s="16"/>
      <c r="F16" s="16"/>
      <c r="G16" s="16"/>
      <c r="H16" s="27"/>
      <c r="I16" s="16"/>
      <c r="J16" s="16"/>
      <c r="K16" s="16"/>
      <c r="L16" s="16"/>
      <c r="M16" s="16"/>
      <c r="N16" s="5"/>
      <c r="O16" s="5"/>
      <c r="P16" s="5"/>
    </row>
    <row r="17" spans="1:16" ht="18.75" thickBot="1" x14ac:dyDescent="0.3">
      <c r="A17" s="10" t="s">
        <v>33</v>
      </c>
      <c r="B17" s="10"/>
      <c r="C17" s="58"/>
      <c r="D17" s="16"/>
      <c r="E17" s="16"/>
      <c r="F17" s="16"/>
      <c r="G17" s="16"/>
      <c r="H17" s="27"/>
      <c r="I17" s="16"/>
      <c r="J17" s="16"/>
      <c r="K17" s="16"/>
      <c r="L17" s="16"/>
      <c r="M17" s="16"/>
      <c r="N17" s="5"/>
      <c r="O17" s="5"/>
      <c r="P17" s="5"/>
    </row>
    <row r="18" spans="1:16" ht="14.25" thickTop="1" thickBot="1" x14ac:dyDescent="0.25">
      <c r="A18" t="s">
        <v>137</v>
      </c>
      <c r="C18" s="57">
        <f>Summary!E9</f>
        <v>40000</v>
      </c>
      <c r="D18" s="51">
        <f>C18</f>
        <v>40000</v>
      </c>
      <c r="E18" s="51">
        <f t="shared" ref="E18:G18" si="7">D18</f>
        <v>40000</v>
      </c>
      <c r="F18" s="51">
        <f t="shared" si="7"/>
        <v>40000</v>
      </c>
      <c r="G18" s="51">
        <f t="shared" si="7"/>
        <v>40000</v>
      </c>
      <c r="H18" s="52"/>
      <c r="I18" s="51">
        <f t="shared" ref="I18:M19" si="8">C18</f>
        <v>40000</v>
      </c>
      <c r="J18" s="51">
        <f t="shared" si="8"/>
        <v>40000</v>
      </c>
      <c r="K18" s="51">
        <f t="shared" si="8"/>
        <v>40000</v>
      </c>
      <c r="L18" s="51">
        <f t="shared" si="8"/>
        <v>40000</v>
      </c>
      <c r="M18" s="51">
        <f t="shared" si="8"/>
        <v>40000</v>
      </c>
      <c r="N18" s="5"/>
      <c r="O18" s="5"/>
      <c r="P18" s="5"/>
    </row>
    <row r="19" spans="1:16" ht="14.25" thickTop="1" thickBot="1" x14ac:dyDescent="0.25">
      <c r="A19" t="s">
        <v>116</v>
      </c>
      <c r="C19" s="57">
        <f>Summary!E10</f>
        <v>0</v>
      </c>
      <c r="D19" s="51">
        <f>C19</f>
        <v>0</v>
      </c>
      <c r="E19" s="51">
        <f t="shared" ref="E19:G19" si="9">D19</f>
        <v>0</v>
      </c>
      <c r="F19" s="51">
        <f t="shared" si="9"/>
        <v>0</v>
      </c>
      <c r="G19" s="51">
        <f t="shared" si="9"/>
        <v>0</v>
      </c>
      <c r="H19" s="52"/>
      <c r="I19" s="51">
        <f t="shared" si="8"/>
        <v>0</v>
      </c>
      <c r="J19" s="51">
        <f t="shared" si="8"/>
        <v>0</v>
      </c>
      <c r="K19" s="51">
        <f t="shared" si="8"/>
        <v>0</v>
      </c>
      <c r="L19" s="51">
        <f t="shared" si="8"/>
        <v>0</v>
      </c>
      <c r="M19" s="51">
        <f t="shared" si="8"/>
        <v>0</v>
      </c>
      <c r="N19" s="5"/>
      <c r="O19" s="5"/>
      <c r="P19" s="5"/>
    </row>
    <row r="20" spans="1:16" ht="13.5" thickTop="1" x14ac:dyDescent="0.2">
      <c r="A20" t="s">
        <v>24</v>
      </c>
      <c r="C20" s="58">
        <f>C6-Legislation!B16*'Income and Tax'!C5</f>
        <v>6000</v>
      </c>
      <c r="D20" s="16">
        <f>D6-Legislation!C16*'Income and Tax'!D5</f>
        <v>8500</v>
      </c>
      <c r="E20" s="16">
        <f>E6-Legislation!D16*'Income and Tax'!E5</f>
        <v>11000</v>
      </c>
      <c r="F20" s="16">
        <f>F6-Legislation!E16*'Income and Tax'!F5</f>
        <v>13500</v>
      </c>
      <c r="G20" s="16">
        <f>G6-Legislation!F16*'Income and Tax'!G5</f>
        <v>16000</v>
      </c>
      <c r="H20" s="27"/>
      <c r="I20" s="16"/>
      <c r="J20" s="16"/>
      <c r="K20" s="16"/>
      <c r="L20" s="16"/>
      <c r="M20" s="16"/>
      <c r="N20" s="5"/>
      <c r="O20" s="5"/>
      <c r="P20" s="5"/>
    </row>
    <row r="21" spans="1:16" x14ac:dyDescent="0.2">
      <c r="A21" t="s">
        <v>141</v>
      </c>
      <c r="C21" s="58"/>
      <c r="D21" s="16"/>
      <c r="E21" s="16"/>
      <c r="F21" s="16"/>
      <c r="G21" s="16"/>
      <c r="H21" s="27"/>
      <c r="I21" s="16">
        <f>-I9</f>
        <v>0</v>
      </c>
      <c r="J21" s="16">
        <f>-J9</f>
        <v>0</v>
      </c>
      <c r="K21" s="16">
        <f>-K9</f>
        <v>0</v>
      </c>
      <c r="L21" s="16">
        <f>-L9</f>
        <v>0</v>
      </c>
      <c r="M21" s="16">
        <f>-M9</f>
        <v>0</v>
      </c>
      <c r="N21" s="5"/>
      <c r="O21" s="5"/>
      <c r="P21" s="5"/>
    </row>
    <row r="22" spans="1:16" x14ac:dyDescent="0.2">
      <c r="A22" t="s">
        <v>25</v>
      </c>
      <c r="C22" s="58"/>
      <c r="D22" s="16"/>
      <c r="E22" s="16"/>
      <c r="F22" s="16"/>
      <c r="G22" s="16"/>
      <c r="H22" s="27"/>
      <c r="I22" s="16">
        <f>-I14</f>
        <v>3270.7999999999997</v>
      </c>
      <c r="J22" s="16">
        <f t="shared" ref="J22:M22" si="10">-J14</f>
        <v>3311.6849999999999</v>
      </c>
      <c r="K22" s="16">
        <f t="shared" si="10"/>
        <v>3311.6849999999999</v>
      </c>
      <c r="L22" s="16">
        <f t="shared" si="10"/>
        <v>3311.6849999999999</v>
      </c>
      <c r="M22" s="16">
        <f t="shared" si="10"/>
        <v>3393.4549999999999</v>
      </c>
      <c r="N22" s="5"/>
      <c r="O22" s="5"/>
      <c r="P22" s="5"/>
    </row>
    <row r="23" spans="1:16" s="12" customFormat="1" x14ac:dyDescent="0.2">
      <c r="A23" s="12" t="s">
        <v>26</v>
      </c>
      <c r="C23" s="59">
        <f>SUM(C18:C22)</f>
        <v>46000</v>
      </c>
      <c r="D23" s="17">
        <f t="shared" ref="D23:M23" si="11">SUM(D18:D22)</f>
        <v>48500</v>
      </c>
      <c r="E23" s="17">
        <f t="shared" si="11"/>
        <v>51000</v>
      </c>
      <c r="F23" s="17">
        <f t="shared" si="11"/>
        <v>53500</v>
      </c>
      <c r="G23" s="17">
        <f t="shared" si="11"/>
        <v>56000</v>
      </c>
      <c r="H23" s="17"/>
      <c r="I23" s="17">
        <f t="shared" si="11"/>
        <v>43270.8</v>
      </c>
      <c r="J23" s="17">
        <f t="shared" si="11"/>
        <v>43311.684999999998</v>
      </c>
      <c r="K23" s="17">
        <f t="shared" si="11"/>
        <v>43311.684999999998</v>
      </c>
      <c r="L23" s="17">
        <f t="shared" si="11"/>
        <v>43311.684999999998</v>
      </c>
      <c r="M23" s="17">
        <f t="shared" si="11"/>
        <v>43393.455000000002</v>
      </c>
    </row>
    <row r="24" spans="1:16" x14ac:dyDescent="0.2">
      <c r="C24" s="58"/>
      <c r="D24" s="16"/>
      <c r="E24" s="16"/>
      <c r="F24" s="16"/>
      <c r="G24" s="16"/>
      <c r="H24" s="27"/>
      <c r="I24" s="16"/>
      <c r="J24" s="16"/>
      <c r="K24" s="16"/>
      <c r="L24" s="16"/>
      <c r="M24" s="16"/>
      <c r="N24" s="5"/>
      <c r="O24" s="5"/>
      <c r="P24" s="5"/>
    </row>
    <row r="25" spans="1:16" x14ac:dyDescent="0.2">
      <c r="A25" t="s">
        <v>27</v>
      </c>
      <c r="C25" s="58">
        <f>C50</f>
        <v>7600</v>
      </c>
      <c r="D25" s="58">
        <f>D50</f>
        <v>8100</v>
      </c>
      <c r="E25" s="58">
        <f>E50</f>
        <v>9100</v>
      </c>
      <c r="F25" s="58">
        <f>F50</f>
        <v>10100</v>
      </c>
      <c r="G25" s="58">
        <f>G50</f>
        <v>11100</v>
      </c>
      <c r="H25" s="58"/>
      <c r="I25" s="58">
        <f>I50</f>
        <v>5800</v>
      </c>
      <c r="J25" s="58">
        <f>J50</f>
        <v>5700</v>
      </c>
      <c r="K25" s="58">
        <f>K50</f>
        <v>5798.3763749999998</v>
      </c>
      <c r="L25" s="58">
        <f>L50</f>
        <v>5798.3763749999998</v>
      </c>
      <c r="M25" s="58">
        <f>M50</f>
        <v>5804.5091250000005</v>
      </c>
      <c r="N25" s="5"/>
      <c r="O25" s="5"/>
      <c r="P25" s="5"/>
    </row>
    <row r="26" spans="1:16" x14ac:dyDescent="0.2">
      <c r="A26" t="s">
        <v>28</v>
      </c>
      <c r="C26" s="58">
        <f>IF(-$A66*(C6-C20)&gt;C25,-C25,$A66*(C6-C20))</f>
        <v>0</v>
      </c>
      <c r="D26" s="58">
        <f>IF(-$A66*(D6-D20)&gt;D25,-D25,$A66*(D6-D20))</f>
        <v>-500</v>
      </c>
      <c r="E26" s="58">
        <f>IF(-$A66*(E6-E20)&gt;E25,-E25,$A66*(E6-E20))</f>
        <v>-1000</v>
      </c>
      <c r="F26" s="58">
        <f>IF(-$A66*(F6-F20)&gt;F25,-F25,$A66*(F6-F20))</f>
        <v>-1500</v>
      </c>
      <c r="G26" s="58">
        <f>IF(-$A66*(G6-G20)&gt;G25,-G25,$A66*(G6-G20))</f>
        <v>-2000</v>
      </c>
      <c r="H26" s="27"/>
      <c r="I26" s="58">
        <f>IF(-$A66*(I6-I20)&gt;I25,-I25,$A66*(I6-I20))</f>
        <v>0</v>
      </c>
      <c r="J26" s="58">
        <f>IF(-$A66*(J6-J20)&gt;J25,-J25,$A66*(J6-J20))</f>
        <v>0</v>
      </c>
      <c r="K26" s="58">
        <f>IF(-$A66*(K6-K20)&gt;K25,-K25,$A66*(K6-K20))</f>
        <v>0</v>
      </c>
      <c r="L26" s="58">
        <f>IF(-$A66*(L6-L20)&gt;L25,-L25,$A66*(L6-L20))</f>
        <v>0</v>
      </c>
      <c r="M26" s="58">
        <f>IF(-$A66*(M6-M20)&gt;M25,-M25,$A66*(M6-M20))</f>
        <v>0</v>
      </c>
      <c r="N26" s="5"/>
      <c r="O26" s="5"/>
      <c r="P26" s="5"/>
    </row>
    <row r="27" spans="1:16" s="12" customFormat="1" x14ac:dyDescent="0.2">
      <c r="A27" s="12" t="s">
        <v>29</v>
      </c>
      <c r="C27" s="59">
        <f>SUM(C25:C26)</f>
        <v>7600</v>
      </c>
      <c r="D27" s="17">
        <f t="shared" ref="D27:G27" si="12">SUM(D25:D26)</f>
        <v>7600</v>
      </c>
      <c r="E27" s="17">
        <f t="shared" si="12"/>
        <v>8100</v>
      </c>
      <c r="F27" s="17">
        <f t="shared" si="12"/>
        <v>8600</v>
      </c>
      <c r="G27" s="17">
        <f t="shared" si="12"/>
        <v>9100</v>
      </c>
      <c r="H27" s="17"/>
      <c r="I27" s="17">
        <f t="shared" ref="I27:M27" si="13">SUM(I25:I26)</f>
        <v>5800</v>
      </c>
      <c r="J27" s="17">
        <f t="shared" si="13"/>
        <v>5700</v>
      </c>
      <c r="K27" s="17">
        <f t="shared" si="13"/>
        <v>5798.3763749999998</v>
      </c>
      <c r="L27" s="17">
        <f t="shared" si="13"/>
        <v>5798.3763749999998</v>
      </c>
      <c r="M27" s="17">
        <f t="shared" si="13"/>
        <v>5804.5091250000005</v>
      </c>
      <c r="N27" s="13"/>
      <c r="O27" s="13"/>
      <c r="P27" s="13"/>
    </row>
    <row r="28" spans="1:16" s="12" customFormat="1" x14ac:dyDescent="0.2">
      <c r="C28" s="59"/>
      <c r="D28" s="17"/>
      <c r="E28" s="17"/>
      <c r="F28" s="17"/>
      <c r="G28" s="17"/>
      <c r="H28" s="17"/>
      <c r="I28" s="17"/>
      <c r="J28" s="17"/>
      <c r="K28" s="17"/>
      <c r="L28" s="17"/>
      <c r="M28" s="17"/>
      <c r="N28" s="13"/>
      <c r="O28" s="13"/>
      <c r="P28" s="13"/>
    </row>
    <row r="29" spans="1:16" s="12" customFormat="1" x14ac:dyDescent="0.2">
      <c r="A29" s="12" t="s">
        <v>217</v>
      </c>
      <c r="C29" s="59">
        <f>+IF(Summary!$D12="y",1,0)*Legislation!B23*'Income and Tax'!C6</f>
        <v>0</v>
      </c>
      <c r="D29" s="59">
        <f>+IF(Summary!$D12="y",1,0)*Legislation!C23*'Income and Tax'!D6</f>
        <v>0</v>
      </c>
      <c r="E29" s="59">
        <f>+IF(Summary!$D12="y",1,0)*Legislation!D23*'Income and Tax'!E6</f>
        <v>0</v>
      </c>
      <c r="F29" s="59">
        <f>+IF(Summary!$D12="y",1,0)*Legislation!E23*'Income and Tax'!F6</f>
        <v>0</v>
      </c>
      <c r="G29" s="59">
        <f>+IF(Summary!$D12="y",1,0)*Legislation!F23*'Income and Tax'!G6</f>
        <v>0</v>
      </c>
      <c r="H29" s="59"/>
      <c r="I29" s="59">
        <f>+IF(Summary!$D12="y",1,0)*Legislation!B23*'Income and Tax'!I6</f>
        <v>0</v>
      </c>
      <c r="J29" s="59">
        <f>+IF(Summary!$D12="y",1,0)*Legislation!C23*'Income and Tax'!J6</f>
        <v>0</v>
      </c>
      <c r="K29" s="59">
        <f>+IF(Summary!$D12="y",1,0)*Legislation!D23*'Income and Tax'!K6</f>
        <v>0</v>
      </c>
      <c r="L29" s="59">
        <f>+IF(Summary!$D12="y",1,0)*Legislation!E23*'Income and Tax'!L6</f>
        <v>0</v>
      </c>
      <c r="M29" s="59">
        <f>+IF(Summary!$D12="y",1,0)*Legislation!F23*'Income and Tax'!M6</f>
        <v>0</v>
      </c>
      <c r="N29" s="13"/>
      <c r="O29" s="13"/>
      <c r="P29" s="13"/>
    </row>
    <row r="30" spans="1:16" x14ac:dyDescent="0.2">
      <c r="C30" s="58"/>
      <c r="D30" s="16"/>
      <c r="E30" s="16"/>
      <c r="F30" s="16"/>
      <c r="G30" s="16"/>
      <c r="H30" s="27"/>
      <c r="I30" s="16"/>
      <c r="J30" s="16"/>
      <c r="K30" s="16"/>
      <c r="L30" s="16"/>
      <c r="M30" s="16"/>
      <c r="N30" s="5"/>
      <c r="O30" s="5"/>
      <c r="P30" s="5"/>
    </row>
    <row r="31" spans="1:16" s="14" customFormat="1" ht="15" x14ac:dyDescent="0.2">
      <c r="A31" s="38" t="s">
        <v>34</v>
      </c>
      <c r="B31"/>
      <c r="C31" s="60">
        <f>C6+C18+C19-C27-C29</f>
        <v>38400</v>
      </c>
      <c r="D31" s="60">
        <f t="shared" ref="D31:G31" si="14">D6+D18+D19-D27-D29</f>
        <v>38400</v>
      </c>
      <c r="E31" s="60">
        <f t="shared" si="14"/>
        <v>37900</v>
      </c>
      <c r="F31" s="60">
        <f t="shared" si="14"/>
        <v>37400</v>
      </c>
      <c r="G31" s="60">
        <f t="shared" si="14"/>
        <v>36900</v>
      </c>
      <c r="H31" s="30"/>
      <c r="I31" s="39">
        <f>I6+I18+I19-I27+I21+I22-I29</f>
        <v>37470.800000000003</v>
      </c>
      <c r="J31" s="39">
        <f t="shared" ref="J31:M31" si="15">J6+J18+J19-J27+J21+J22-J29</f>
        <v>37611.684999999998</v>
      </c>
      <c r="K31" s="39">
        <f t="shared" si="15"/>
        <v>37513.308624999998</v>
      </c>
      <c r="L31" s="39">
        <f t="shared" si="15"/>
        <v>37513.308624999998</v>
      </c>
      <c r="M31" s="39">
        <f t="shared" si="15"/>
        <v>37588.945875000005</v>
      </c>
      <c r="N31" s="15"/>
    </row>
    <row r="32" spans="1:16" s="14" customFormat="1" ht="15" x14ac:dyDescent="0.2">
      <c r="B32"/>
      <c r="C32" s="61"/>
      <c r="D32" s="18"/>
      <c r="E32" s="18"/>
      <c r="F32" s="18"/>
      <c r="G32" s="18"/>
      <c r="H32" s="17"/>
      <c r="I32" s="18"/>
      <c r="J32" s="18"/>
      <c r="K32" s="18"/>
      <c r="L32" s="18"/>
      <c r="M32" s="18"/>
      <c r="N32" s="15"/>
    </row>
    <row r="33" spans="1:16" s="14" customFormat="1" ht="15" x14ac:dyDescent="0.2">
      <c r="B33"/>
      <c r="C33" s="61"/>
      <c r="D33" s="18"/>
      <c r="E33" s="18"/>
      <c r="F33" s="18"/>
      <c r="G33" s="19" t="s">
        <v>142</v>
      </c>
      <c r="H33" s="17"/>
      <c r="I33" s="18">
        <f>-I10</f>
        <v>0</v>
      </c>
      <c r="J33" s="18">
        <f>-J10</f>
        <v>0</v>
      </c>
      <c r="K33" s="18">
        <f>-K10</f>
        <v>0</v>
      </c>
      <c r="L33" s="18">
        <f>-L10</f>
        <v>0</v>
      </c>
      <c r="M33" s="18">
        <f>-M10</f>
        <v>0</v>
      </c>
      <c r="N33" s="15"/>
    </row>
    <row r="34" spans="1:16" s="14" customFormat="1" ht="15" x14ac:dyDescent="0.2">
      <c r="B34"/>
      <c r="C34" s="61"/>
      <c r="D34" s="18"/>
      <c r="E34" s="18"/>
      <c r="F34" s="18"/>
      <c r="G34" s="18"/>
      <c r="H34" s="17"/>
      <c r="I34" s="18"/>
      <c r="J34" s="18"/>
      <c r="K34" s="18"/>
      <c r="L34" s="18"/>
      <c r="M34" s="18"/>
      <c r="N34" s="15"/>
    </row>
    <row r="35" spans="1:16" s="14" customFormat="1" ht="15" x14ac:dyDescent="0.2">
      <c r="A35" s="36" t="str">
        <f>O4</f>
        <v/>
      </c>
      <c r="B35"/>
      <c r="C35" s="61"/>
      <c r="D35" s="18"/>
      <c r="E35" s="18"/>
      <c r="F35" s="18"/>
      <c r="G35" s="25" t="s">
        <v>61</v>
      </c>
      <c r="H35" s="28">
        <f>1-B14</f>
        <v>0.15000000000000002</v>
      </c>
      <c r="I35" s="18">
        <f>I15</f>
        <v>577.20000000000027</v>
      </c>
      <c r="J35" s="18">
        <f>J15</f>
        <v>584.41499999999996</v>
      </c>
      <c r="K35" s="18">
        <f>K15</f>
        <v>584.41499999999996</v>
      </c>
      <c r="L35" s="18">
        <f>L15</f>
        <v>584.41499999999996</v>
      </c>
      <c r="M35" s="18">
        <f>M15</f>
        <v>598.84500000000025</v>
      </c>
      <c r="N35" s="15"/>
    </row>
    <row r="36" spans="1:16" s="14" customFormat="1" ht="15" x14ac:dyDescent="0.2">
      <c r="A36" s="36" t="str">
        <f>O5</f>
        <v/>
      </c>
      <c r="B36"/>
      <c r="C36" s="61"/>
      <c r="D36" s="18"/>
      <c r="E36" s="18"/>
      <c r="F36" s="18"/>
      <c r="G36" s="18"/>
      <c r="H36" s="29"/>
      <c r="I36" s="18"/>
      <c r="J36" s="18"/>
      <c r="K36" s="18"/>
      <c r="L36" s="18"/>
      <c r="M36" s="18"/>
      <c r="N36" s="15"/>
    </row>
    <row r="37" spans="1:16" s="14" customFormat="1" ht="15" x14ac:dyDescent="0.2">
      <c r="A37" s="15" t="str">
        <f>O14</f>
        <v/>
      </c>
      <c r="B37"/>
      <c r="C37" s="61"/>
      <c r="D37" s="18"/>
      <c r="E37" s="18"/>
      <c r="F37" s="18"/>
      <c r="G37" s="19" t="s">
        <v>82</v>
      </c>
      <c r="H37" s="29"/>
      <c r="I37" s="18">
        <f>I31+I35+I33</f>
        <v>38048</v>
      </c>
      <c r="J37" s="18">
        <f t="shared" ref="J37:M37" si="16">J31+J35+J33</f>
        <v>38196.1</v>
      </c>
      <c r="K37" s="18">
        <f t="shared" si="16"/>
        <v>38097.723624999999</v>
      </c>
      <c r="L37" s="18">
        <f t="shared" si="16"/>
        <v>38097.723624999999</v>
      </c>
      <c r="M37" s="18">
        <f t="shared" si="16"/>
        <v>38187.790875000006</v>
      </c>
      <c r="N37" s="15"/>
    </row>
    <row r="38" spans="1:16" s="14" customFormat="1" ht="15" x14ac:dyDescent="0.2">
      <c r="B38"/>
      <c r="C38" s="61"/>
      <c r="D38" s="18"/>
      <c r="E38" s="18"/>
      <c r="F38" s="18"/>
      <c r="G38" s="19"/>
      <c r="H38" s="29"/>
      <c r="I38" s="18"/>
      <c r="J38" s="18"/>
      <c r="K38" s="18"/>
      <c r="L38" s="18"/>
      <c r="M38" s="18"/>
      <c r="N38" s="15"/>
    </row>
    <row r="39" spans="1:16" s="14" customFormat="1" ht="15" x14ac:dyDescent="0.2">
      <c r="B39"/>
      <c r="C39" s="61"/>
      <c r="D39" s="18"/>
      <c r="E39" s="18"/>
      <c r="F39" s="18"/>
      <c r="G39" s="18"/>
      <c r="H39" s="29"/>
      <c r="I39" s="18"/>
      <c r="J39" s="18"/>
      <c r="K39" s="18"/>
      <c r="L39" s="18"/>
      <c r="M39" s="18"/>
      <c r="N39" s="15"/>
    </row>
    <row r="40" spans="1:16" s="14" customFormat="1" ht="15" x14ac:dyDescent="0.2">
      <c r="A40" s="38" t="s">
        <v>42</v>
      </c>
      <c r="B40"/>
      <c r="C40" s="60">
        <f>C27</f>
        <v>7600</v>
      </c>
      <c r="D40" s="39">
        <f>D27</f>
        <v>7600</v>
      </c>
      <c r="E40" s="39">
        <f>E27</f>
        <v>8100</v>
      </c>
      <c r="F40" s="39">
        <f>F27</f>
        <v>8600</v>
      </c>
      <c r="G40" s="39">
        <f>G27</f>
        <v>9100</v>
      </c>
      <c r="H40" s="30"/>
      <c r="I40" s="39">
        <f>-I12+I25</f>
        <v>6762</v>
      </c>
      <c r="J40" s="39">
        <f>-J12+J25</f>
        <v>6613.9</v>
      </c>
      <c r="K40" s="39">
        <f>-K12+K25</f>
        <v>6712.2763749999995</v>
      </c>
      <c r="L40" s="39">
        <f>-L12+L25</f>
        <v>6712.2763749999995</v>
      </c>
      <c r="M40" s="39">
        <f>-M12+M25</f>
        <v>6622.2091250000003</v>
      </c>
      <c r="N40" s="15"/>
      <c r="O40" s="15"/>
      <c r="P40" s="15"/>
    </row>
    <row r="41" spans="1:16" s="14" customFormat="1" ht="15" x14ac:dyDescent="0.2">
      <c r="B41"/>
      <c r="C41" s="61"/>
      <c r="D41" s="18"/>
      <c r="E41" s="18"/>
      <c r="F41" s="18"/>
      <c r="G41" s="18"/>
      <c r="H41" s="29"/>
      <c r="I41" s="18"/>
      <c r="J41" s="18"/>
      <c r="K41" s="18"/>
      <c r="L41" s="18"/>
      <c r="M41" s="18"/>
      <c r="N41" s="15"/>
      <c r="O41" s="15"/>
      <c r="P41" s="15"/>
    </row>
    <row r="42" spans="1:16" s="14" customFormat="1" ht="15" x14ac:dyDescent="0.2">
      <c r="C42" s="61"/>
      <c r="D42" s="18"/>
      <c r="E42" s="18"/>
      <c r="F42" s="18"/>
      <c r="G42" s="18"/>
      <c r="H42" s="29"/>
      <c r="I42" s="18"/>
      <c r="J42" s="18"/>
      <c r="K42" s="18"/>
      <c r="L42" s="18"/>
      <c r="M42" s="18"/>
      <c r="N42" s="15"/>
      <c r="O42" s="15"/>
      <c r="P42" s="15"/>
    </row>
    <row r="43" spans="1:16" s="14" customFormat="1" ht="12.95" customHeight="1" x14ac:dyDescent="0.2">
      <c r="A43" s="14" t="s">
        <v>108</v>
      </c>
      <c r="C43" s="61"/>
      <c r="D43" s="18"/>
      <c r="E43" s="18"/>
      <c r="F43" s="18"/>
      <c r="G43" s="18"/>
      <c r="H43" s="29"/>
      <c r="I43" s="18"/>
      <c r="J43" s="18"/>
      <c r="K43" s="18"/>
      <c r="L43" s="18"/>
      <c r="M43" s="120" t="str">
        <f>Summary!J29</f>
        <v>v.9   8/03/2017</v>
      </c>
      <c r="N43" s="15"/>
      <c r="O43" s="15"/>
      <c r="P43" s="15"/>
    </row>
    <row r="44" spans="1:16" s="14" customFormat="1" ht="12.95" customHeight="1" x14ac:dyDescent="0.2">
      <c r="C44" s="61"/>
      <c r="D44" s="18"/>
      <c r="E44" s="18"/>
      <c r="F44" s="18"/>
      <c r="G44" s="18"/>
      <c r="H44" s="29"/>
      <c r="I44" s="18"/>
      <c r="J44" s="18"/>
      <c r="K44" s="18"/>
      <c r="L44" s="18"/>
      <c r="M44" s="18"/>
      <c r="N44" s="15"/>
      <c r="O44" s="15"/>
      <c r="P44" s="15"/>
    </row>
    <row r="45" spans="1:16" ht="12.95" hidden="1" customHeight="1" x14ac:dyDescent="0.2">
      <c r="A45" s="40" t="s">
        <v>44</v>
      </c>
      <c r="B45" s="40"/>
      <c r="C45" s="41"/>
      <c r="D45" s="41"/>
      <c r="E45" s="41"/>
      <c r="F45" s="41"/>
      <c r="G45" s="41"/>
      <c r="H45" s="42"/>
      <c r="I45" s="41"/>
      <c r="J45" s="41"/>
      <c r="K45" s="41"/>
      <c r="L45" s="41"/>
      <c r="M45" s="41"/>
      <c r="N45" s="5"/>
      <c r="O45" s="5"/>
      <c r="P45" s="5"/>
    </row>
    <row r="46" spans="1:16" ht="12.95" hidden="1" customHeight="1" x14ac:dyDescent="0.2">
      <c r="A46" t="s">
        <v>112</v>
      </c>
      <c r="N46" s="5"/>
      <c r="O46" s="5"/>
      <c r="P46" s="5"/>
    </row>
    <row r="47" spans="1:16" ht="12.95" hidden="1" customHeight="1" x14ac:dyDescent="0.2">
      <c r="A47" s="3" t="s">
        <v>122</v>
      </c>
      <c r="C47" s="62">
        <f>C61</f>
        <v>7600</v>
      </c>
      <c r="D47" s="62">
        <f>D61</f>
        <v>8100</v>
      </c>
      <c r="E47" s="62">
        <f>E61</f>
        <v>9100</v>
      </c>
      <c r="F47" s="62">
        <f>F61</f>
        <v>10100</v>
      </c>
      <c r="G47" s="62">
        <f>G61</f>
        <v>11100</v>
      </c>
      <c r="H47" s="62"/>
      <c r="I47" s="62">
        <f>I61</f>
        <v>5800</v>
      </c>
      <c r="J47" s="62">
        <f>J61</f>
        <v>5700</v>
      </c>
      <c r="K47" s="62">
        <f>K61</f>
        <v>5700</v>
      </c>
      <c r="L47" s="62">
        <f>L61</f>
        <v>5700</v>
      </c>
      <c r="M47" s="62">
        <f>M61</f>
        <v>5700</v>
      </c>
      <c r="N47" s="5"/>
      <c r="O47" s="5"/>
      <c r="P47" s="5"/>
    </row>
    <row r="48" spans="1:16" ht="12.95" hidden="1" customHeight="1" x14ac:dyDescent="0.2">
      <c r="A48" s="3" t="s">
        <v>118</v>
      </c>
      <c r="C48" s="62">
        <f>C141</f>
        <v>0</v>
      </c>
      <c r="D48" s="62">
        <f>D141</f>
        <v>0</v>
      </c>
      <c r="E48" s="62">
        <f>E141</f>
        <v>0</v>
      </c>
      <c r="F48" s="62">
        <f>F141</f>
        <v>0</v>
      </c>
      <c r="G48" s="62">
        <f>G141</f>
        <v>0</v>
      </c>
      <c r="H48" s="62"/>
      <c r="I48" s="62">
        <f>I141</f>
        <v>313.01000000000096</v>
      </c>
      <c r="J48" s="62">
        <f>J141</f>
        <v>248.37637499999983</v>
      </c>
      <c r="K48" s="62">
        <f>K141</f>
        <v>248.37637499999983</v>
      </c>
      <c r="L48" s="62">
        <f>L141</f>
        <v>248.37637499999983</v>
      </c>
      <c r="M48" s="62">
        <f>M141</f>
        <v>254.50912500000013</v>
      </c>
      <c r="N48" s="5"/>
      <c r="O48" s="5"/>
      <c r="P48" s="5"/>
    </row>
    <row r="49" spans="1:16" ht="12.95" hidden="1" customHeight="1" x14ac:dyDescent="0.2">
      <c r="A49" s="3" t="s">
        <v>113</v>
      </c>
      <c r="C49" s="62">
        <f>-C194</f>
        <v>0</v>
      </c>
      <c r="D49" s="62">
        <f>-D194</f>
        <v>0</v>
      </c>
      <c r="E49" s="62">
        <f>-E194</f>
        <v>0</v>
      </c>
      <c r="F49" s="62">
        <f>-F194</f>
        <v>0</v>
      </c>
      <c r="G49" s="62">
        <f>-G194</f>
        <v>0</v>
      </c>
      <c r="H49" s="62"/>
      <c r="I49" s="62">
        <f>-I194</f>
        <v>-313.01000000000096</v>
      </c>
      <c r="J49" s="62">
        <f>-J194</f>
        <v>-248.376375</v>
      </c>
      <c r="K49" s="62">
        <f>-K194</f>
        <v>-150</v>
      </c>
      <c r="L49" s="62">
        <f>-L194</f>
        <v>-150</v>
      </c>
      <c r="M49" s="62">
        <f>-M194</f>
        <v>-150</v>
      </c>
      <c r="N49" s="5"/>
      <c r="O49" s="5"/>
      <c r="P49" s="5"/>
    </row>
    <row r="50" spans="1:16" ht="12.95" hidden="1" customHeight="1" x14ac:dyDescent="0.2">
      <c r="A50" s="3" t="s">
        <v>214</v>
      </c>
      <c r="C50" s="62">
        <f>C47+C48+C49</f>
        <v>7600</v>
      </c>
      <c r="D50" s="62">
        <f t="shared" ref="D50:M50" si="17">D47+D48+D49</f>
        <v>8100</v>
      </c>
      <c r="E50" s="62">
        <f t="shared" si="17"/>
        <v>9100</v>
      </c>
      <c r="F50" s="62">
        <f t="shared" si="17"/>
        <v>10100</v>
      </c>
      <c r="G50" s="62">
        <f t="shared" si="17"/>
        <v>11100</v>
      </c>
      <c r="H50" s="62"/>
      <c r="I50" s="62">
        <f t="shared" si="17"/>
        <v>5800</v>
      </c>
      <c r="J50" s="62">
        <f t="shared" si="17"/>
        <v>5700</v>
      </c>
      <c r="K50" s="62">
        <f t="shared" si="17"/>
        <v>5798.3763749999998</v>
      </c>
      <c r="L50" s="62">
        <f t="shared" si="17"/>
        <v>5798.3763749999998</v>
      </c>
      <c r="M50" s="62">
        <f t="shared" si="17"/>
        <v>5804.5091250000005</v>
      </c>
      <c r="N50" s="5"/>
      <c r="O50" s="5"/>
      <c r="P50" s="5"/>
    </row>
    <row r="51" spans="1:16" ht="12.95" hidden="1" customHeight="1" x14ac:dyDescent="0.2">
      <c r="A51" s="3" t="s">
        <v>114</v>
      </c>
      <c r="C51" s="58">
        <f>+C26</f>
        <v>0</v>
      </c>
      <c r="D51" s="58">
        <f>+D26</f>
        <v>-500</v>
      </c>
      <c r="E51" s="58">
        <f>+E26</f>
        <v>-1000</v>
      </c>
      <c r="F51" s="58">
        <f>+F26</f>
        <v>-1500</v>
      </c>
      <c r="G51" s="58">
        <f>+G26</f>
        <v>-2000</v>
      </c>
      <c r="H51" s="58"/>
      <c r="I51" s="58">
        <f>+I26</f>
        <v>0</v>
      </c>
      <c r="J51" s="58">
        <f>+J26</f>
        <v>0</v>
      </c>
      <c r="K51" s="58">
        <f>+K26</f>
        <v>0</v>
      </c>
      <c r="L51" s="58">
        <f>+L26</f>
        <v>0</v>
      </c>
      <c r="M51" s="58">
        <f>+M26</f>
        <v>0</v>
      </c>
      <c r="N51" s="5"/>
      <c r="O51" s="5"/>
      <c r="P51" s="5"/>
    </row>
    <row r="52" spans="1:16" s="12" customFormat="1" ht="12.95" hidden="1" customHeight="1" x14ac:dyDescent="0.2">
      <c r="C52" s="59">
        <f>C51+C50</f>
        <v>7600</v>
      </c>
      <c r="D52" s="59">
        <f t="shared" ref="D52:M52" si="18">D51+D50</f>
        <v>7600</v>
      </c>
      <c r="E52" s="59">
        <f t="shared" si="18"/>
        <v>8100</v>
      </c>
      <c r="F52" s="59">
        <f t="shared" si="18"/>
        <v>8600</v>
      </c>
      <c r="G52" s="59">
        <f t="shared" si="18"/>
        <v>9100</v>
      </c>
      <c r="H52" s="59"/>
      <c r="I52" s="59">
        <f t="shared" si="18"/>
        <v>5800</v>
      </c>
      <c r="J52" s="59">
        <f t="shared" si="18"/>
        <v>5700</v>
      </c>
      <c r="K52" s="59">
        <f t="shared" si="18"/>
        <v>5798.3763749999998</v>
      </c>
      <c r="L52" s="59">
        <f t="shared" si="18"/>
        <v>5798.3763749999998</v>
      </c>
      <c r="M52" s="59">
        <f t="shared" si="18"/>
        <v>5804.5091250000005</v>
      </c>
      <c r="N52" s="13"/>
      <c r="O52" s="13"/>
      <c r="P52" s="13"/>
    </row>
    <row r="53" spans="1:16" ht="12.95" hidden="1" customHeight="1" x14ac:dyDescent="0.2">
      <c r="A53" s="40"/>
      <c r="B53" s="40"/>
      <c r="C53" s="41"/>
      <c r="D53" s="41"/>
      <c r="E53" s="41"/>
      <c r="F53" s="41"/>
      <c r="G53" s="41"/>
      <c r="H53" s="42"/>
      <c r="I53" s="41"/>
      <c r="J53" s="41"/>
      <c r="K53" s="41"/>
      <c r="L53" s="41"/>
      <c r="M53" s="41"/>
      <c r="N53" s="5"/>
      <c r="O53" s="5"/>
      <c r="P53" s="5"/>
    </row>
    <row r="54" spans="1:16" ht="12.95" hidden="1" customHeight="1" x14ac:dyDescent="0.2">
      <c r="A54" s="92" t="s">
        <v>121</v>
      </c>
      <c r="B54" s="43"/>
      <c r="C54" s="41">
        <f>C18+C20</f>
        <v>46000</v>
      </c>
      <c r="D54" s="41">
        <f>D18+D20</f>
        <v>48500</v>
      </c>
      <c r="E54" s="41">
        <f>E18+E20</f>
        <v>51000</v>
      </c>
      <c r="F54" s="41">
        <f>F18+F20</f>
        <v>53500</v>
      </c>
      <c r="G54" s="41">
        <f>G18+G20</f>
        <v>56000</v>
      </c>
      <c r="H54" s="41"/>
      <c r="I54" s="41">
        <f>I18+I20-I9</f>
        <v>40000</v>
      </c>
      <c r="J54" s="41">
        <f>J18+J20-J9</f>
        <v>40000</v>
      </c>
      <c r="K54" s="41">
        <f>K18+K20-K9</f>
        <v>40000</v>
      </c>
      <c r="L54" s="41">
        <f>L18+L20-L9</f>
        <v>40000</v>
      </c>
      <c r="M54" s="41">
        <f>M18+M20-M9</f>
        <v>40000</v>
      </c>
      <c r="N54" s="5"/>
      <c r="O54" s="5"/>
      <c r="P54" s="5"/>
    </row>
    <row r="55" spans="1:16" ht="12.95" hidden="1" customHeight="1" x14ac:dyDescent="0.2">
      <c r="A55" s="43" t="s">
        <v>120</v>
      </c>
      <c r="B55" s="43"/>
      <c r="C55" s="41"/>
      <c r="D55" s="41"/>
      <c r="E55" s="41"/>
      <c r="F55" s="41"/>
      <c r="G55" s="41"/>
      <c r="H55" s="42"/>
      <c r="I55" s="41"/>
      <c r="J55" s="41"/>
      <c r="K55" s="41"/>
      <c r="L55" s="41"/>
      <c r="M55" s="41"/>
      <c r="N55" s="5"/>
      <c r="O55" s="5"/>
      <c r="P55" s="5"/>
    </row>
    <row r="56" spans="1:16" ht="12.95" hidden="1" customHeight="1" x14ac:dyDescent="0.2">
      <c r="A56" s="44">
        <f>Legislation!A9</f>
        <v>0</v>
      </c>
      <c r="B56" s="44"/>
      <c r="C56" s="41">
        <v>0</v>
      </c>
      <c r="D56" s="41">
        <f>C56</f>
        <v>0</v>
      </c>
      <c r="E56" s="41">
        <f t="shared" ref="E56:M56" si="19">D56</f>
        <v>0</v>
      </c>
      <c r="F56" s="41">
        <f t="shared" si="19"/>
        <v>0</v>
      </c>
      <c r="G56" s="41">
        <f t="shared" si="19"/>
        <v>0</v>
      </c>
      <c r="H56" s="41"/>
      <c r="I56" s="41">
        <f t="shared" si="19"/>
        <v>0</v>
      </c>
      <c r="J56" s="41">
        <f t="shared" si="19"/>
        <v>0</v>
      </c>
      <c r="K56" s="41">
        <f t="shared" si="19"/>
        <v>0</v>
      </c>
      <c r="L56" s="41">
        <f t="shared" si="19"/>
        <v>0</v>
      </c>
      <c r="M56" s="41">
        <f t="shared" si="19"/>
        <v>0</v>
      </c>
      <c r="N56" s="5"/>
      <c r="O56" s="5"/>
      <c r="P56" s="5"/>
    </row>
    <row r="57" spans="1:16" ht="12.95" hidden="1" customHeight="1" x14ac:dyDescent="0.2">
      <c r="A57" s="44">
        <f>Legislation!A10</f>
        <v>0.2</v>
      </c>
      <c r="B57" s="44"/>
      <c r="C57" s="41">
        <f>+IF(C$54&gt;C65,C$54-C65,0)*($A57-$A56)</f>
        <v>7000</v>
      </c>
      <c r="D57" s="41">
        <f t="shared" ref="D57:M57" si="20">+IF(D$54&gt;D65,D$54-D65,0)*($A57-$A56)</f>
        <v>7400</v>
      </c>
      <c r="E57" s="41">
        <f t="shared" si="20"/>
        <v>7900</v>
      </c>
      <c r="F57" s="41">
        <f t="shared" si="20"/>
        <v>8400</v>
      </c>
      <c r="G57" s="41">
        <f t="shared" si="20"/>
        <v>8900</v>
      </c>
      <c r="H57" s="41"/>
      <c r="I57" s="41">
        <f t="shared" si="20"/>
        <v>5800</v>
      </c>
      <c r="J57" s="41">
        <f t="shared" si="20"/>
        <v>5700</v>
      </c>
      <c r="K57" s="41">
        <f t="shared" si="20"/>
        <v>5700</v>
      </c>
      <c r="L57" s="41">
        <f t="shared" si="20"/>
        <v>5700</v>
      </c>
      <c r="M57" s="41">
        <f t="shared" si="20"/>
        <v>5700</v>
      </c>
      <c r="N57" s="5"/>
      <c r="O57" s="5"/>
      <c r="P57" s="5"/>
    </row>
    <row r="58" spans="1:16" ht="12.95" hidden="1" customHeight="1" x14ac:dyDescent="0.2">
      <c r="A58" s="44">
        <f>Legislation!A11</f>
        <v>0.4</v>
      </c>
      <c r="B58" s="44"/>
      <c r="C58" s="41">
        <f>+IF(C$54&gt;C66,C$54-C66,0)*($A58-$A57)</f>
        <v>600</v>
      </c>
      <c r="D58" s="41">
        <f t="shared" ref="D58:M58" si="21">+IF(D$54&gt;D66,D$54-D66,0)*($A58-$A57)</f>
        <v>700</v>
      </c>
      <c r="E58" s="41">
        <f t="shared" si="21"/>
        <v>1200</v>
      </c>
      <c r="F58" s="41">
        <f t="shared" si="21"/>
        <v>1700</v>
      </c>
      <c r="G58" s="41">
        <f t="shared" si="21"/>
        <v>2200</v>
      </c>
      <c r="H58" s="41"/>
      <c r="I58" s="41">
        <f t="shared" si="21"/>
        <v>0</v>
      </c>
      <c r="J58" s="41">
        <f t="shared" si="21"/>
        <v>0</v>
      </c>
      <c r="K58" s="41">
        <f t="shared" si="21"/>
        <v>0</v>
      </c>
      <c r="L58" s="41">
        <f t="shared" si="21"/>
        <v>0</v>
      </c>
      <c r="M58" s="41">
        <f t="shared" si="21"/>
        <v>0</v>
      </c>
      <c r="N58" s="5"/>
      <c r="O58" s="5"/>
      <c r="P58" s="5"/>
    </row>
    <row r="59" spans="1:16" ht="12.95" hidden="1" customHeight="1" x14ac:dyDescent="0.2">
      <c r="A59" s="44">
        <f>Legislation!A12</f>
        <v>0.45</v>
      </c>
      <c r="B59" s="44"/>
      <c r="C59" s="41">
        <f>+IF(C$54&gt;C67,C$54-C67,0)*($A59-$A58)</f>
        <v>0</v>
      </c>
      <c r="D59" s="41">
        <f t="shared" ref="D59:M59" si="22">+IF(D$54&gt;D67,D$54-D67,0)*($A59-$A58)</f>
        <v>0</v>
      </c>
      <c r="E59" s="41">
        <f t="shared" si="22"/>
        <v>0</v>
      </c>
      <c r="F59" s="41">
        <f t="shared" si="22"/>
        <v>0</v>
      </c>
      <c r="G59" s="41">
        <f t="shared" si="22"/>
        <v>0</v>
      </c>
      <c r="H59" s="41"/>
      <c r="I59" s="41">
        <f t="shared" si="22"/>
        <v>0</v>
      </c>
      <c r="J59" s="41">
        <f t="shared" si="22"/>
        <v>0</v>
      </c>
      <c r="K59" s="41">
        <f t="shared" si="22"/>
        <v>0</v>
      </c>
      <c r="L59" s="41">
        <f t="shared" si="22"/>
        <v>0</v>
      </c>
      <c r="M59" s="41">
        <f t="shared" si="22"/>
        <v>0</v>
      </c>
      <c r="N59" s="5"/>
      <c r="O59" s="5"/>
      <c r="P59" s="5"/>
    </row>
    <row r="60" spans="1:16" ht="12.95" hidden="1" customHeight="1" x14ac:dyDescent="0.2">
      <c r="A60" s="44"/>
      <c r="B60" s="44"/>
      <c r="C60" s="41"/>
      <c r="D60" s="41"/>
      <c r="E60" s="41"/>
      <c r="F60" s="41"/>
      <c r="G60" s="41"/>
      <c r="H60" s="45"/>
      <c r="I60" s="41"/>
      <c r="J60" s="41"/>
      <c r="K60" s="41"/>
      <c r="L60" s="41"/>
      <c r="M60" s="41"/>
    </row>
    <row r="61" spans="1:16" ht="12.95" hidden="1" customHeight="1" x14ac:dyDescent="0.2">
      <c r="A61" s="43"/>
      <c r="B61" s="43"/>
      <c r="C61" s="41">
        <f>SUM(C56:C60)</f>
        <v>7600</v>
      </c>
      <c r="D61" s="41">
        <f t="shared" ref="D61:G61" si="23">SUM(D56:D60)</f>
        <v>8100</v>
      </c>
      <c r="E61" s="41">
        <f t="shared" si="23"/>
        <v>9100</v>
      </c>
      <c r="F61" s="41">
        <f t="shared" si="23"/>
        <v>10100</v>
      </c>
      <c r="G61" s="41">
        <f t="shared" si="23"/>
        <v>11100</v>
      </c>
      <c r="H61" s="45"/>
      <c r="I61" s="41">
        <f>SUM(I56:I60)</f>
        <v>5800</v>
      </c>
      <c r="J61" s="41">
        <f t="shared" ref="J61:M61" si="24">SUM(J56:J60)</f>
        <v>5700</v>
      </c>
      <c r="K61" s="41">
        <f t="shared" si="24"/>
        <v>5700</v>
      </c>
      <c r="L61" s="41">
        <f t="shared" si="24"/>
        <v>5700</v>
      </c>
      <c r="M61" s="41">
        <f t="shared" si="24"/>
        <v>5700</v>
      </c>
    </row>
    <row r="62" spans="1:16" ht="12.95" hidden="1" customHeight="1" x14ac:dyDescent="0.2">
      <c r="A62" s="43"/>
      <c r="B62" s="43"/>
      <c r="C62" s="41"/>
      <c r="D62" s="41"/>
      <c r="E62" s="41"/>
      <c r="F62" s="41"/>
      <c r="G62" s="41"/>
      <c r="H62" s="45"/>
      <c r="I62" s="43"/>
      <c r="J62" s="43"/>
      <c r="K62" s="43"/>
      <c r="L62" s="43"/>
      <c r="M62" s="43"/>
    </row>
    <row r="63" spans="1:16" ht="12.95" hidden="1" customHeight="1" x14ac:dyDescent="0.2">
      <c r="A63" s="43"/>
      <c r="B63" s="43"/>
      <c r="C63" s="41"/>
      <c r="D63" s="43"/>
      <c r="E63" s="43"/>
      <c r="F63" s="43"/>
      <c r="G63" s="43"/>
      <c r="H63" s="45"/>
      <c r="I63" s="43"/>
      <c r="J63" s="43"/>
      <c r="K63" s="43"/>
      <c r="L63" s="43"/>
      <c r="M63" s="43"/>
    </row>
    <row r="64" spans="1:16" ht="12.95" hidden="1" customHeight="1" x14ac:dyDescent="0.2">
      <c r="A64" s="43" t="s">
        <v>115</v>
      </c>
      <c r="B64" s="43"/>
      <c r="C64" s="46" t="str">
        <f>Legislation!B8</f>
        <v>2016/17</v>
      </c>
      <c r="D64" s="46" t="str">
        <f>Legislation!C8</f>
        <v>2017/18</v>
      </c>
      <c r="E64" s="46" t="str">
        <f>Legislation!D8</f>
        <v>2018/19</v>
      </c>
      <c r="F64" s="46" t="str">
        <f>Legislation!E8</f>
        <v>2019/20</v>
      </c>
      <c r="G64" s="46" t="str">
        <f>Legislation!F8</f>
        <v>2020/21</v>
      </c>
      <c r="H64" s="47"/>
      <c r="I64" s="46" t="str">
        <f>C64</f>
        <v>2016/17</v>
      </c>
      <c r="J64" s="46" t="str">
        <f>D64</f>
        <v>2017/18</v>
      </c>
      <c r="K64" s="46" t="str">
        <f>E64</f>
        <v>2018/19</v>
      </c>
      <c r="L64" s="46" t="str">
        <f>F64</f>
        <v>2019/20</v>
      </c>
      <c r="M64" s="46" t="str">
        <f>G64</f>
        <v>2020/21</v>
      </c>
      <c r="N64" s="3"/>
    </row>
    <row r="65" spans="1:13" ht="12.95" hidden="1" customHeight="1" x14ac:dyDescent="0.2">
      <c r="A65" s="43">
        <f>Legislation!A9</f>
        <v>0</v>
      </c>
      <c r="B65" s="43"/>
      <c r="C65" s="43">
        <f>Legislation!B9-(IF(C23&gt;C69,C23-C69,0)-IF(C23&gt;C70,C23-C70,0))*C71</f>
        <v>11000</v>
      </c>
      <c r="D65" s="43">
        <f>Legislation!C9-(IF(D23&gt;D69,D23-D69,0)-IF(D23&gt;D70,D23-D70,0))*D71</f>
        <v>11500</v>
      </c>
      <c r="E65" s="43">
        <f>Legislation!D9-(IF(E23&gt;E69,E23-E69,0)-IF(E23&gt;E70,E23-E70,0))*E71</f>
        <v>11500</v>
      </c>
      <c r="F65" s="43">
        <f>Legislation!E9-(IF(F23&gt;F69,F23-F69,0)-IF(F23&gt;F70,F23-F70,0))*F71</f>
        <v>11500</v>
      </c>
      <c r="G65" s="43">
        <f>Legislation!F9-(IF(G23&gt;G69,G23-G69,0)-IF(G23&gt;G70,G23-G70,0))*G71</f>
        <v>11500</v>
      </c>
      <c r="H65" s="45"/>
      <c r="I65" s="43">
        <f>Legislation!B9-(IF(I23&gt;I69,I23-I69,0)-IF(I23&gt;I70,I23-I70,0))*I71</f>
        <v>11000</v>
      </c>
      <c r="J65" s="43">
        <f>Legislation!C9-(IF(J23&gt;J69,J23-J69,0)-IF(J23&gt;J70,J23-J70,0))*J71</f>
        <v>11500</v>
      </c>
      <c r="K65" s="43">
        <f>Legislation!D9-(IF(K23&gt;K69,K23-K69,0)-IF(K23&gt;K70,K23-K70,0))*K71</f>
        <v>11500</v>
      </c>
      <c r="L65" s="43">
        <f>Legislation!E9-(IF(L23&gt;L69,L23-L69,0)-IF(L23&gt;L70,L23-L70,0))*L71</f>
        <v>11500</v>
      </c>
      <c r="M65" s="43">
        <f>Legislation!F9-(IF(M23&gt;M69,M23-M69,0)-IF(M23&gt;M70,M23-M70,0))*M71</f>
        <v>11500</v>
      </c>
    </row>
    <row r="66" spans="1:13" ht="12.95" hidden="1" customHeight="1" x14ac:dyDescent="0.2">
      <c r="A66" s="43">
        <f>Legislation!A10</f>
        <v>0.2</v>
      </c>
      <c r="B66" s="43"/>
      <c r="C66" s="41">
        <f>Legislation!B10+C65</f>
        <v>43000</v>
      </c>
      <c r="D66" s="41">
        <f>Legislation!C10+D65</f>
        <v>45000</v>
      </c>
      <c r="E66" s="41">
        <f>Legislation!D10+E65</f>
        <v>45000</v>
      </c>
      <c r="F66" s="41">
        <f>Legislation!E10+F65</f>
        <v>45000</v>
      </c>
      <c r="G66" s="41">
        <f>Legislation!F10+G65</f>
        <v>45000</v>
      </c>
      <c r="H66" s="45"/>
      <c r="I66" s="41">
        <f>Legislation!B10+I65</f>
        <v>43000</v>
      </c>
      <c r="J66" s="41">
        <f>Legislation!C10+J65</f>
        <v>45000</v>
      </c>
      <c r="K66" s="41">
        <f>Legislation!D10+K65</f>
        <v>45000</v>
      </c>
      <c r="L66" s="41">
        <f>Legislation!E10+L65</f>
        <v>45000</v>
      </c>
      <c r="M66" s="41">
        <f>Legislation!F10+M65</f>
        <v>45000</v>
      </c>
    </row>
    <row r="67" spans="1:13" ht="12.95" hidden="1" customHeight="1" x14ac:dyDescent="0.2">
      <c r="A67" s="43">
        <f>Legislation!A11</f>
        <v>0.4</v>
      </c>
      <c r="B67" s="43"/>
      <c r="C67" s="41">
        <f>Legislation!B11+C66</f>
        <v>161000</v>
      </c>
      <c r="D67" s="41">
        <f>Legislation!C11+D66</f>
        <v>161500</v>
      </c>
      <c r="E67" s="41">
        <f>Legislation!D11+E66</f>
        <v>161500</v>
      </c>
      <c r="F67" s="41">
        <f>Legislation!E11+F66</f>
        <v>161500</v>
      </c>
      <c r="G67" s="41">
        <f>Legislation!F11+G66</f>
        <v>161500</v>
      </c>
      <c r="H67" s="45"/>
      <c r="I67" s="41">
        <f>Legislation!B11+I66</f>
        <v>161000</v>
      </c>
      <c r="J67" s="41">
        <f>Legislation!C11+J66</f>
        <v>161500</v>
      </c>
      <c r="K67" s="41">
        <f>Legislation!D11+K66</f>
        <v>161500</v>
      </c>
      <c r="L67" s="41">
        <f>Legislation!E11+L66</f>
        <v>161500</v>
      </c>
      <c r="M67" s="41">
        <f>Legislation!F11+M66</f>
        <v>161500</v>
      </c>
    </row>
    <row r="68" spans="1:13" ht="12.95" hidden="1" customHeight="1" x14ac:dyDescent="0.2">
      <c r="A68" s="43">
        <f>Legislation!A12</f>
        <v>0.45</v>
      </c>
      <c r="B68" s="43"/>
      <c r="C68" s="41"/>
      <c r="D68" s="41"/>
      <c r="E68" s="41"/>
      <c r="F68" s="41"/>
      <c r="G68" s="41"/>
      <c r="H68" s="45"/>
      <c r="I68" s="41"/>
      <c r="J68" s="41"/>
      <c r="K68" s="41"/>
      <c r="L68" s="41"/>
      <c r="M68" s="41"/>
    </row>
    <row r="69" spans="1:13" ht="12.95" hidden="1" customHeight="1" x14ac:dyDescent="0.2">
      <c r="A69" s="43" t="str">
        <f>Legislation!A13</f>
        <v>Withdrawal of Personal allowances - start</v>
      </c>
      <c r="B69" s="43"/>
      <c r="C69" s="41">
        <f>Legislation!B13</f>
        <v>100000</v>
      </c>
      <c r="D69" s="41">
        <f>Legislation!C13</f>
        <v>100000</v>
      </c>
      <c r="E69" s="41">
        <f>Legislation!D13</f>
        <v>100000</v>
      </c>
      <c r="F69" s="41">
        <f>Legislation!E13</f>
        <v>100000</v>
      </c>
      <c r="G69" s="41">
        <f>Legislation!F13</f>
        <v>100000</v>
      </c>
      <c r="H69" s="45"/>
      <c r="I69" s="41">
        <f t="shared" ref="I69:M72" si="25">C69</f>
        <v>100000</v>
      </c>
      <c r="J69" s="41">
        <f t="shared" si="25"/>
        <v>100000</v>
      </c>
      <c r="K69" s="41">
        <f t="shared" si="25"/>
        <v>100000</v>
      </c>
      <c r="L69" s="41">
        <f t="shared" si="25"/>
        <v>100000</v>
      </c>
      <c r="M69" s="41">
        <f t="shared" si="25"/>
        <v>100000</v>
      </c>
    </row>
    <row r="70" spans="1:13" ht="12.95" hidden="1" customHeight="1" x14ac:dyDescent="0.2">
      <c r="A70" s="43" t="str">
        <f>Legislation!A14</f>
        <v>Withdrawal of Personal allowances - end</v>
      </c>
      <c r="B70" s="43"/>
      <c r="C70" s="41">
        <f>Legislation!B14</f>
        <v>122000</v>
      </c>
      <c r="D70" s="41">
        <f>Legislation!C14</f>
        <v>123000</v>
      </c>
      <c r="E70" s="41">
        <f>Legislation!D14</f>
        <v>123000</v>
      </c>
      <c r="F70" s="41">
        <f>Legislation!E14</f>
        <v>123000</v>
      </c>
      <c r="G70" s="41">
        <f>Legislation!F14</f>
        <v>123000</v>
      </c>
      <c r="H70" s="45"/>
      <c r="I70" s="41">
        <f t="shared" si="25"/>
        <v>122000</v>
      </c>
      <c r="J70" s="41">
        <f t="shared" si="25"/>
        <v>123000</v>
      </c>
      <c r="K70" s="41">
        <f t="shared" si="25"/>
        <v>123000</v>
      </c>
      <c r="L70" s="41">
        <f t="shared" si="25"/>
        <v>123000</v>
      </c>
      <c r="M70" s="41">
        <f t="shared" si="25"/>
        <v>123000</v>
      </c>
    </row>
    <row r="71" spans="1:13" ht="12.95" hidden="1" customHeight="1" x14ac:dyDescent="0.2">
      <c r="A71" s="43" t="str">
        <f>Legislation!A15</f>
        <v>Rate of withdrawal</v>
      </c>
      <c r="B71" s="43"/>
      <c r="C71" s="44">
        <f>Legislation!B15</f>
        <v>0.5</v>
      </c>
      <c r="D71" s="44">
        <f>Legislation!C15</f>
        <v>0.5</v>
      </c>
      <c r="E71" s="44">
        <f>Legislation!D15</f>
        <v>0.5</v>
      </c>
      <c r="F71" s="44">
        <f>Legislation!E15</f>
        <v>0.5</v>
      </c>
      <c r="G71" s="44">
        <f>Legislation!F15</f>
        <v>0.5</v>
      </c>
      <c r="H71" s="45"/>
      <c r="I71" s="44">
        <f t="shared" si="25"/>
        <v>0.5</v>
      </c>
      <c r="J71" s="44">
        <f t="shared" si="25"/>
        <v>0.5</v>
      </c>
      <c r="K71" s="44">
        <f t="shared" si="25"/>
        <v>0.5</v>
      </c>
      <c r="L71" s="44">
        <f t="shared" si="25"/>
        <v>0.5</v>
      </c>
      <c r="M71" s="44">
        <f t="shared" si="25"/>
        <v>0.5</v>
      </c>
    </row>
    <row r="72" spans="1:13" ht="12.95" hidden="1" customHeight="1" x14ac:dyDescent="0.2">
      <c r="A72" s="43" t="str">
        <f>Legislation!A16</f>
        <v>Tapering of Interest Rate Restriction</v>
      </c>
      <c r="B72" s="43"/>
      <c r="C72" s="44">
        <f>Legislation!B16</f>
        <v>0</v>
      </c>
      <c r="D72" s="44">
        <f>Legislation!C16</f>
        <v>0.25</v>
      </c>
      <c r="E72" s="44">
        <f>Legislation!D16</f>
        <v>0.5</v>
      </c>
      <c r="F72" s="44">
        <f>Legislation!E16</f>
        <v>0.75</v>
      </c>
      <c r="G72" s="44">
        <f>Legislation!F16</f>
        <v>1</v>
      </c>
      <c r="H72" s="45"/>
      <c r="I72" s="44">
        <f t="shared" si="25"/>
        <v>0</v>
      </c>
      <c r="J72" s="44">
        <f t="shared" si="25"/>
        <v>0.25</v>
      </c>
      <c r="K72" s="44">
        <f t="shared" si="25"/>
        <v>0.5</v>
      </c>
      <c r="L72" s="44">
        <f t="shared" si="25"/>
        <v>0.75</v>
      </c>
      <c r="M72" s="44">
        <f t="shared" si="25"/>
        <v>1</v>
      </c>
    </row>
    <row r="73" spans="1:13" ht="12.95" hidden="1" customHeight="1" x14ac:dyDescent="0.2">
      <c r="A73" s="43">
        <f>Legislation!A17</f>
        <v>0</v>
      </c>
      <c r="B73" s="43"/>
      <c r="C73" s="44">
        <f>Legislation!B17</f>
        <v>0</v>
      </c>
      <c r="D73" s="44">
        <f>Legislation!C17</f>
        <v>0</v>
      </c>
      <c r="E73" s="44">
        <f>Legislation!D17</f>
        <v>0</v>
      </c>
      <c r="F73" s="44">
        <f>Legislation!E17</f>
        <v>0</v>
      </c>
      <c r="G73" s="44">
        <f>Legislation!F17</f>
        <v>0</v>
      </c>
      <c r="H73" s="45"/>
      <c r="I73" s="44">
        <f t="shared" ref="I73:I79" si="26">C73</f>
        <v>0</v>
      </c>
      <c r="J73" s="44">
        <f t="shared" ref="J73:J79" si="27">D73</f>
        <v>0</v>
      </c>
      <c r="K73" s="44">
        <f t="shared" ref="K73:K79" si="28">E73</f>
        <v>0</v>
      </c>
      <c r="L73" s="44">
        <f t="shared" ref="L73:L79" si="29">F73</f>
        <v>0</v>
      </c>
      <c r="M73" s="44">
        <f t="shared" ref="M73:M79" si="30">G73</f>
        <v>0</v>
      </c>
    </row>
    <row r="74" spans="1:13" ht="12.95" hidden="1" customHeight="1" x14ac:dyDescent="0.2">
      <c r="A74" s="43" t="str">
        <f>Legislation!A18</f>
        <v>National Insurance</v>
      </c>
      <c r="B74" s="43"/>
      <c r="C74" s="41">
        <f>Legislation!B18</f>
        <v>0</v>
      </c>
      <c r="D74" s="41">
        <f>Legislation!C18</f>
        <v>0</v>
      </c>
      <c r="E74" s="41">
        <f>Legislation!D18</f>
        <v>0</v>
      </c>
      <c r="F74" s="41">
        <f>Legislation!E18</f>
        <v>0</v>
      </c>
      <c r="G74" s="41">
        <f>Legislation!F18</f>
        <v>0</v>
      </c>
      <c r="H74" s="42"/>
      <c r="I74" s="41">
        <f t="shared" si="26"/>
        <v>0</v>
      </c>
      <c r="J74" s="41">
        <f t="shared" si="27"/>
        <v>0</v>
      </c>
      <c r="K74" s="41">
        <f t="shared" si="28"/>
        <v>0</v>
      </c>
      <c r="L74" s="41">
        <f t="shared" si="29"/>
        <v>0</v>
      </c>
      <c r="M74" s="41">
        <f t="shared" si="30"/>
        <v>0</v>
      </c>
    </row>
    <row r="75" spans="1:13" ht="12.95" hidden="1" customHeight="1" x14ac:dyDescent="0.2">
      <c r="A75" s="43">
        <f>Legislation!A19</f>
        <v>0</v>
      </c>
      <c r="B75" s="43"/>
      <c r="C75" s="41">
        <f>Legislation!B19</f>
        <v>8140</v>
      </c>
      <c r="D75" s="41">
        <f>Legislation!C19</f>
        <v>8140</v>
      </c>
      <c r="E75" s="41">
        <f>Legislation!D19</f>
        <v>8140</v>
      </c>
      <c r="F75" s="41">
        <f>Legislation!E19</f>
        <v>8140</v>
      </c>
      <c r="G75" s="41">
        <f>Legislation!F19</f>
        <v>8140</v>
      </c>
      <c r="H75" s="42"/>
      <c r="I75" s="41">
        <f t="shared" si="26"/>
        <v>8140</v>
      </c>
      <c r="J75" s="41">
        <f t="shared" si="27"/>
        <v>8140</v>
      </c>
      <c r="K75" s="41">
        <f t="shared" si="28"/>
        <v>8140</v>
      </c>
      <c r="L75" s="41">
        <f t="shared" si="29"/>
        <v>8140</v>
      </c>
      <c r="M75" s="41">
        <f t="shared" si="30"/>
        <v>8140</v>
      </c>
    </row>
    <row r="76" spans="1:13" ht="12.95" hidden="1" customHeight="1" x14ac:dyDescent="0.2">
      <c r="A76" s="43">
        <f>Legislation!A20</f>
        <v>0.12</v>
      </c>
      <c r="B76" s="43"/>
      <c r="C76" s="41">
        <f>Legislation!B20</f>
        <v>43000</v>
      </c>
      <c r="D76" s="41">
        <f>Legislation!C20</f>
        <v>45000</v>
      </c>
      <c r="E76" s="41">
        <f>Legislation!D20</f>
        <v>45000</v>
      </c>
      <c r="F76" s="41">
        <f>Legislation!E20</f>
        <v>45000</v>
      </c>
      <c r="G76" s="41">
        <f>Legislation!F20</f>
        <v>45000</v>
      </c>
      <c r="H76" s="42"/>
      <c r="I76" s="41">
        <f t="shared" si="26"/>
        <v>43000</v>
      </c>
      <c r="J76" s="41">
        <f t="shared" si="27"/>
        <v>45000</v>
      </c>
      <c r="K76" s="41">
        <f t="shared" si="28"/>
        <v>45000</v>
      </c>
      <c r="L76" s="41">
        <f t="shared" si="29"/>
        <v>45000</v>
      </c>
      <c r="M76" s="41">
        <f t="shared" si="30"/>
        <v>45000</v>
      </c>
    </row>
    <row r="77" spans="1:13" ht="12.95" hidden="1" customHeight="1" x14ac:dyDescent="0.2">
      <c r="A77" s="43">
        <f>Legislation!A21</f>
        <v>0.02</v>
      </c>
      <c r="B77" s="43"/>
      <c r="C77" s="44" t="str">
        <f>Legislation!B21</f>
        <v>on XS</v>
      </c>
      <c r="D77" s="44">
        <f>Legislation!C21</f>
        <v>0</v>
      </c>
      <c r="E77" s="44">
        <f>Legislation!D21</f>
        <v>0</v>
      </c>
      <c r="F77" s="44">
        <f>Legislation!E21</f>
        <v>0</v>
      </c>
      <c r="G77" s="44">
        <f>Legislation!F21</f>
        <v>0</v>
      </c>
      <c r="H77" s="45"/>
      <c r="I77" s="44" t="str">
        <f t="shared" si="26"/>
        <v>on XS</v>
      </c>
      <c r="J77" s="44">
        <f t="shared" si="27"/>
        <v>0</v>
      </c>
      <c r="K77" s="44">
        <f t="shared" si="28"/>
        <v>0</v>
      </c>
      <c r="L77" s="44">
        <f t="shared" si="29"/>
        <v>0</v>
      </c>
      <c r="M77" s="44">
        <f t="shared" si="30"/>
        <v>0</v>
      </c>
    </row>
    <row r="78" spans="1:13" ht="12.95" hidden="1" customHeight="1" x14ac:dyDescent="0.2">
      <c r="A78" s="43" t="str">
        <f>Legislation!A22</f>
        <v>ER Rate</v>
      </c>
      <c r="B78" s="43"/>
      <c r="C78" s="44">
        <f>Legislation!B22</f>
        <v>0.13800000000000001</v>
      </c>
      <c r="D78" s="44" t="str">
        <f>Legislation!C22</f>
        <v>over the lower rate band</v>
      </c>
      <c r="E78" s="44">
        <f>Legislation!D22</f>
        <v>0</v>
      </c>
      <c r="F78" s="44">
        <f>Legislation!E22</f>
        <v>0</v>
      </c>
      <c r="G78" s="44">
        <f>Legislation!F22</f>
        <v>0</v>
      </c>
      <c r="H78" s="45"/>
      <c r="I78" s="44">
        <f t="shared" si="26"/>
        <v>0.13800000000000001</v>
      </c>
      <c r="J78" s="44" t="str">
        <f t="shared" si="27"/>
        <v>over the lower rate band</v>
      </c>
      <c r="K78" s="44">
        <f t="shared" si="28"/>
        <v>0</v>
      </c>
      <c r="L78" s="44">
        <f t="shared" si="29"/>
        <v>0</v>
      </c>
      <c r="M78" s="44">
        <f t="shared" si="30"/>
        <v>0</v>
      </c>
    </row>
    <row r="79" spans="1:13" ht="12.95" hidden="1" customHeight="1" x14ac:dyDescent="0.2">
      <c r="A79" s="43">
        <f>Legislation!A24</f>
        <v>0</v>
      </c>
      <c r="B79" s="43"/>
      <c r="C79" s="44">
        <f>Legislation!B24</f>
        <v>0</v>
      </c>
      <c r="D79" s="44">
        <f>Legislation!C24</f>
        <v>0</v>
      </c>
      <c r="E79" s="44">
        <f>Legislation!D24</f>
        <v>0</v>
      </c>
      <c r="F79" s="44">
        <f>Legislation!E24</f>
        <v>0</v>
      </c>
      <c r="G79" s="44">
        <f>Legislation!F24</f>
        <v>0</v>
      </c>
      <c r="H79" s="45"/>
      <c r="I79" s="44">
        <f t="shared" si="26"/>
        <v>0</v>
      </c>
      <c r="J79" s="44">
        <f t="shared" si="27"/>
        <v>0</v>
      </c>
      <c r="K79" s="44">
        <f t="shared" si="28"/>
        <v>0</v>
      </c>
      <c r="L79" s="44">
        <f t="shared" si="29"/>
        <v>0</v>
      </c>
      <c r="M79" s="44">
        <f t="shared" si="30"/>
        <v>0</v>
      </c>
    </row>
    <row r="80" spans="1:13" ht="12.95" hidden="1" customHeight="1" x14ac:dyDescent="0.2">
      <c r="A80" s="43"/>
      <c r="B80" s="43"/>
      <c r="C80" s="44"/>
      <c r="D80" s="44"/>
      <c r="E80" s="44"/>
      <c r="F80" s="44"/>
      <c r="G80" s="44"/>
      <c r="H80" s="45"/>
      <c r="I80" s="44"/>
      <c r="J80" s="44"/>
      <c r="K80" s="44"/>
      <c r="L80" s="44"/>
      <c r="M80" s="44"/>
    </row>
    <row r="81" spans="1:15" ht="12.95" hidden="1" customHeight="1" x14ac:dyDescent="0.2">
      <c r="A81" s="43"/>
      <c r="B81" s="43"/>
      <c r="C81" s="48" t="str">
        <f>Legislation!B25</f>
        <v>2016/17</v>
      </c>
      <c r="D81" s="48" t="str">
        <f>Legislation!C25</f>
        <v>2017/18</v>
      </c>
      <c r="E81" s="48" t="str">
        <f>Legislation!D25</f>
        <v>2018/19</v>
      </c>
      <c r="F81" s="48" t="str">
        <f>Legislation!E25</f>
        <v>2019/20</v>
      </c>
      <c r="G81" s="48" t="str">
        <f>Legislation!F25</f>
        <v>2020/21</v>
      </c>
      <c r="H81" s="47"/>
      <c r="I81" s="48" t="str">
        <f t="shared" ref="I81:M88" si="31">C81</f>
        <v>2016/17</v>
      </c>
      <c r="J81" s="48" t="str">
        <f t="shared" si="31"/>
        <v>2017/18</v>
      </c>
      <c r="K81" s="48" t="str">
        <f t="shared" si="31"/>
        <v>2018/19</v>
      </c>
      <c r="L81" s="48" t="str">
        <f t="shared" si="31"/>
        <v>2019/20</v>
      </c>
      <c r="M81" s="48" t="str">
        <f t="shared" si="31"/>
        <v>2020/21</v>
      </c>
      <c r="N81" s="3"/>
    </row>
    <row r="82" spans="1:15" ht="12.95" hidden="1" customHeight="1" x14ac:dyDescent="0.2">
      <c r="A82" s="43" t="str">
        <f>Legislation!A26</f>
        <v>Corporation Tax</v>
      </c>
      <c r="B82" s="43"/>
      <c r="C82" s="44">
        <f>Legislation!B26</f>
        <v>0.2</v>
      </c>
      <c r="D82" s="44">
        <f>Legislation!C26</f>
        <v>0.19</v>
      </c>
      <c r="E82" s="44">
        <f>Legislation!D26</f>
        <v>0.19</v>
      </c>
      <c r="F82" s="44">
        <f>Legislation!E26</f>
        <v>0.19</v>
      </c>
      <c r="G82" s="44">
        <f>Legislation!F26</f>
        <v>0.17</v>
      </c>
      <c r="H82" s="45"/>
      <c r="I82" s="44">
        <f t="shared" si="31"/>
        <v>0.2</v>
      </c>
      <c r="J82" s="44">
        <f t="shared" si="31"/>
        <v>0.19</v>
      </c>
      <c r="K82" s="44">
        <f t="shared" si="31"/>
        <v>0.19</v>
      </c>
      <c r="L82" s="44">
        <f t="shared" si="31"/>
        <v>0.19</v>
      </c>
      <c r="M82" s="44">
        <f t="shared" si="31"/>
        <v>0.17</v>
      </c>
    </row>
    <row r="83" spans="1:15" ht="12.95" hidden="1" customHeight="1" x14ac:dyDescent="0.2">
      <c r="A83" s="43" t="str">
        <f>Legislation!A27</f>
        <v>Dividend Tax Rates on Tax Bands</v>
      </c>
      <c r="B83" s="43"/>
      <c r="C83" s="44">
        <f>Legislation!B27</f>
        <v>0</v>
      </c>
      <c r="D83" s="44">
        <f>Legislation!C27</f>
        <v>0</v>
      </c>
      <c r="E83" s="44">
        <f>Legislation!D27</f>
        <v>0</v>
      </c>
      <c r="F83" s="44">
        <f>Legislation!E27</f>
        <v>0</v>
      </c>
      <c r="G83" s="44">
        <f>Legislation!F27</f>
        <v>0</v>
      </c>
      <c r="H83" s="45"/>
      <c r="I83" s="44">
        <f t="shared" si="31"/>
        <v>0</v>
      </c>
      <c r="J83" s="44">
        <f t="shared" si="31"/>
        <v>0</v>
      </c>
      <c r="K83" s="44">
        <f t="shared" si="31"/>
        <v>0</v>
      </c>
      <c r="L83" s="44">
        <f t="shared" si="31"/>
        <v>0</v>
      </c>
      <c r="M83" s="44">
        <f t="shared" si="31"/>
        <v>0</v>
      </c>
    </row>
    <row r="84" spans="1:15" ht="12.95" hidden="1" customHeight="1" x14ac:dyDescent="0.2">
      <c r="A84" s="43">
        <f>Legislation!A28</f>
        <v>0</v>
      </c>
      <c r="B84" s="43"/>
      <c r="C84" s="49">
        <f>Legislation!B28</f>
        <v>0</v>
      </c>
      <c r="D84" s="49">
        <f>Legislation!C28</f>
        <v>0</v>
      </c>
      <c r="E84" s="49">
        <f>Legislation!D28</f>
        <v>0</v>
      </c>
      <c r="F84" s="49">
        <f>Legislation!E28</f>
        <v>0</v>
      </c>
      <c r="G84" s="49">
        <f>Legislation!F28</f>
        <v>0</v>
      </c>
      <c r="H84" s="45"/>
      <c r="I84" s="44">
        <f t="shared" si="31"/>
        <v>0</v>
      </c>
      <c r="J84" s="44">
        <f t="shared" si="31"/>
        <v>0</v>
      </c>
      <c r="K84" s="44">
        <f t="shared" si="31"/>
        <v>0</v>
      </c>
      <c r="L84" s="44">
        <f t="shared" si="31"/>
        <v>0</v>
      </c>
      <c r="M84" s="44">
        <f t="shared" si="31"/>
        <v>0</v>
      </c>
    </row>
    <row r="85" spans="1:15" ht="12.95" hidden="1" customHeight="1" x14ac:dyDescent="0.2">
      <c r="A85" s="43">
        <f>Legislation!A29</f>
        <v>0.2</v>
      </c>
      <c r="B85" s="43"/>
      <c r="C85" s="49">
        <f>Legislation!B29</f>
        <v>7.4999999999999997E-2</v>
      </c>
      <c r="D85" s="49">
        <f>Legislation!C29</f>
        <v>7.4999999999999997E-2</v>
      </c>
      <c r="E85" s="49">
        <f>Legislation!D29</f>
        <v>7.4999999999999997E-2</v>
      </c>
      <c r="F85" s="49">
        <f>Legislation!E29</f>
        <v>7.4999999999999997E-2</v>
      </c>
      <c r="G85" s="49">
        <f>Legislation!F29</f>
        <v>7.4999999999999997E-2</v>
      </c>
      <c r="H85" s="45"/>
      <c r="I85" s="44">
        <f t="shared" si="31"/>
        <v>7.4999999999999997E-2</v>
      </c>
      <c r="J85" s="44">
        <f t="shared" si="31"/>
        <v>7.4999999999999997E-2</v>
      </c>
      <c r="K85" s="44">
        <f t="shared" si="31"/>
        <v>7.4999999999999997E-2</v>
      </c>
      <c r="L85" s="44">
        <f t="shared" si="31"/>
        <v>7.4999999999999997E-2</v>
      </c>
      <c r="M85" s="44">
        <f t="shared" si="31"/>
        <v>7.4999999999999997E-2</v>
      </c>
    </row>
    <row r="86" spans="1:15" ht="12.95" hidden="1" customHeight="1" x14ac:dyDescent="0.2">
      <c r="A86" s="43">
        <f>Legislation!A30</f>
        <v>0.4</v>
      </c>
      <c r="B86" s="43"/>
      <c r="C86" s="49">
        <f>Legislation!B30</f>
        <v>0.32500000000000001</v>
      </c>
      <c r="D86" s="49">
        <f>Legislation!C30</f>
        <v>0.32500000000000001</v>
      </c>
      <c r="E86" s="49">
        <f>Legislation!D30</f>
        <v>0.32500000000000001</v>
      </c>
      <c r="F86" s="49">
        <f>Legislation!E30</f>
        <v>0.32500000000000001</v>
      </c>
      <c r="G86" s="49">
        <f>Legislation!F30</f>
        <v>0.32500000000000001</v>
      </c>
      <c r="H86" s="45"/>
      <c r="I86" s="44">
        <f t="shared" si="31"/>
        <v>0.32500000000000001</v>
      </c>
      <c r="J86" s="44">
        <f t="shared" si="31"/>
        <v>0.32500000000000001</v>
      </c>
      <c r="K86" s="44">
        <f t="shared" si="31"/>
        <v>0.32500000000000001</v>
      </c>
      <c r="L86" s="44">
        <f t="shared" si="31"/>
        <v>0.32500000000000001</v>
      </c>
      <c r="M86" s="44">
        <f t="shared" si="31"/>
        <v>0.32500000000000001</v>
      </c>
    </row>
    <row r="87" spans="1:15" ht="12.95" hidden="1" customHeight="1" x14ac:dyDescent="0.2">
      <c r="A87" s="43">
        <f>Legislation!A31</f>
        <v>0.45</v>
      </c>
      <c r="B87" s="43"/>
      <c r="C87" s="49">
        <f>Legislation!B31</f>
        <v>0.38100000000000001</v>
      </c>
      <c r="D87" s="49">
        <f>Legislation!C31</f>
        <v>0.38100000000000001</v>
      </c>
      <c r="E87" s="49">
        <f>Legislation!D31</f>
        <v>0.38100000000000001</v>
      </c>
      <c r="F87" s="49">
        <f>Legislation!E31</f>
        <v>0.38100000000000001</v>
      </c>
      <c r="G87" s="49">
        <f>Legislation!F31</f>
        <v>0.38100000000000001</v>
      </c>
      <c r="H87" s="45"/>
      <c r="I87" s="44">
        <f t="shared" si="31"/>
        <v>0.38100000000000001</v>
      </c>
      <c r="J87" s="44">
        <f t="shared" si="31"/>
        <v>0.38100000000000001</v>
      </c>
      <c r="K87" s="44">
        <f t="shared" si="31"/>
        <v>0.38100000000000001</v>
      </c>
      <c r="L87" s="44">
        <f t="shared" si="31"/>
        <v>0.38100000000000001</v>
      </c>
      <c r="M87" s="44">
        <f t="shared" si="31"/>
        <v>0.38100000000000001</v>
      </c>
    </row>
    <row r="88" spans="1:15" ht="12.95" hidden="1" customHeight="1" x14ac:dyDescent="0.2">
      <c r="A88" s="43" t="str">
        <f>Legislation!A32</f>
        <v>Tax free dividend limit</v>
      </c>
      <c r="B88" s="43"/>
      <c r="C88" s="41">
        <f>Legislation!B32</f>
        <v>5000</v>
      </c>
      <c r="D88" s="41">
        <f>Legislation!C32</f>
        <v>5000</v>
      </c>
      <c r="E88" s="41">
        <f>Legislation!D32</f>
        <v>2000</v>
      </c>
      <c r="F88" s="41">
        <f>Legislation!E32</f>
        <v>2000</v>
      </c>
      <c r="G88" s="41">
        <f>Legislation!F32</f>
        <v>2000</v>
      </c>
      <c r="H88" s="45"/>
      <c r="I88" s="41">
        <f t="shared" si="31"/>
        <v>5000</v>
      </c>
      <c r="J88" s="41">
        <f t="shared" si="31"/>
        <v>5000</v>
      </c>
      <c r="K88" s="41">
        <f t="shared" si="31"/>
        <v>2000</v>
      </c>
      <c r="L88" s="41">
        <f t="shared" si="31"/>
        <v>2000</v>
      </c>
      <c r="M88" s="41">
        <f t="shared" si="31"/>
        <v>2000</v>
      </c>
    </row>
    <row r="89" spans="1:15" ht="12.95" hidden="1" customHeight="1" x14ac:dyDescent="0.2">
      <c r="A89" s="43"/>
      <c r="B89" s="43"/>
      <c r="C89" s="41"/>
      <c r="D89" s="41"/>
      <c r="E89" s="41"/>
      <c r="F89" s="41"/>
      <c r="G89" s="41"/>
      <c r="H89" s="45"/>
      <c r="I89" s="43"/>
      <c r="J89" s="43"/>
      <c r="K89" s="43"/>
      <c r="L89" s="43"/>
      <c r="M89" s="43"/>
    </row>
    <row r="90" spans="1:15" ht="12.95" hidden="1" customHeight="1" x14ac:dyDescent="0.2">
      <c r="A90" s="92" t="s">
        <v>136</v>
      </c>
      <c r="B90" s="43"/>
      <c r="C90" s="41"/>
      <c r="D90" s="41"/>
      <c r="E90" s="41"/>
      <c r="F90" s="41"/>
      <c r="G90" s="41"/>
      <c r="H90" s="45"/>
      <c r="I90" s="43"/>
      <c r="J90" s="43"/>
      <c r="K90" s="43"/>
      <c r="L90" s="43"/>
      <c r="M90" s="43"/>
    </row>
    <row r="91" spans="1:15" ht="12.95" hidden="1" customHeight="1" x14ac:dyDescent="0.2">
      <c r="A91" s="43" t="s">
        <v>138</v>
      </c>
      <c r="B91" s="53" t="str">
        <f>Summary!D13</f>
        <v>y</v>
      </c>
      <c r="C91" s="41"/>
      <c r="D91" s="41"/>
      <c r="E91" s="41"/>
      <c r="F91" s="41"/>
      <c r="G91" s="41"/>
      <c r="H91" s="41"/>
      <c r="I91" s="41">
        <f>+(IF($B91="y",1,0)+IF($B91="yes",1,0))*IF(C18&gt;C75,0,C75-C18)*IF(C75-C18&gt;I8+I10,(I8+I10)/(C75-C18),1)</f>
        <v>0</v>
      </c>
      <c r="J91" s="41">
        <f>+(IF($B91="y",1,0)+IF($B91="yes",1,0))*IF(D18&gt;D75,0,D75-D18)*IF(D75-D18&gt;J8+J10,(J8+J10)/(D75-D18),1)</f>
        <v>0</v>
      </c>
      <c r="K91" s="41">
        <f>+(IF($B91="y",1,0)+IF($B91="yes",1,0))*IF(E18&gt;E75,0,E75-E18)*IF(E75-E18&gt;K8+K10,(K8+K10)/(E75-E18),1)</f>
        <v>0</v>
      </c>
      <c r="L91" s="41">
        <f>+(IF($B91="y",1,0)+IF($B91="yes",1,0))*IF(F18&gt;F75,0,F75-F18)*IF(F75-F18&gt;L8+L10,(L8+L10)/(F75-F18),1)</f>
        <v>0</v>
      </c>
      <c r="M91" s="41">
        <f>+(IF($B91="y",1,0)+IF($B91="yes",1,0))*IF(G18&gt;G75,0,G75-G18)*IF(G75-G18&gt;M8+M10,(M8+M10)/(G75-G18),1)</f>
        <v>0</v>
      </c>
    </row>
    <row r="92" spans="1:15" ht="12.95" hidden="1" customHeight="1" x14ac:dyDescent="0.2">
      <c r="A92" s="43" t="s">
        <v>139</v>
      </c>
      <c r="B92" s="53" t="str">
        <f>Summary!D14</f>
        <v>n</v>
      </c>
      <c r="C92" s="41"/>
      <c r="D92" s="41"/>
      <c r="E92" s="41"/>
      <c r="F92" s="41"/>
      <c r="G92" s="41"/>
      <c r="H92" s="45"/>
      <c r="I92" s="41">
        <f>+((IF($B92="y",1,0)+IF($B92="yes",1,0))*IF(I8&gt;I75,I75,I8))*IF(I8&lt;0,0,1)</f>
        <v>0</v>
      </c>
      <c r="J92" s="41">
        <f>+((IF($B92="y",1,0)+IF($B92="yes",1,0))*IF(J8&gt;J75,J75,J8))*IF(J8&lt;0,0,1)</f>
        <v>0</v>
      </c>
      <c r="K92" s="41">
        <f>+((IF($B92="y",1,0)+IF($B92="yes",1,0))*IF(K8&gt;K75,K75,K8))*IF(K8&lt;0,0,1)</f>
        <v>0</v>
      </c>
      <c r="L92" s="41">
        <f>+((IF($B92="y",1,0)+IF($B92="yes",1,0))*IF(L8&gt;L75,L75,L8))*IF(L8&lt;0,0,1)</f>
        <v>0</v>
      </c>
      <c r="M92" s="41">
        <f>+((IF($B92="y",1,0)+IF($B92="yes",1,0))*IF(M8&gt;M75,M75,M8))*IF(M8&lt;0,0,1)</f>
        <v>0</v>
      </c>
      <c r="N92" s="41"/>
      <c r="O92" s="41"/>
    </row>
    <row r="93" spans="1:15" ht="12.95" hidden="1" customHeight="1" x14ac:dyDescent="0.2">
      <c r="A93" s="43"/>
      <c r="B93" s="43"/>
      <c r="C93" s="41"/>
      <c r="D93" s="41"/>
      <c r="E93" s="41"/>
      <c r="F93" s="41"/>
      <c r="G93" s="41"/>
      <c r="H93" s="45"/>
      <c r="I93" s="43"/>
      <c r="J93" s="43"/>
      <c r="K93" s="43"/>
      <c r="L93" s="43"/>
      <c r="M93" s="43"/>
    </row>
    <row r="94" spans="1:15" ht="12.95" hidden="1" customHeight="1" x14ac:dyDescent="0.2">
      <c r="A94" s="92" t="s">
        <v>123</v>
      </c>
      <c r="B94" s="43"/>
      <c r="C94" s="41"/>
      <c r="D94" s="41"/>
      <c r="E94" s="41"/>
      <c r="F94" s="41"/>
      <c r="G94" s="41"/>
      <c r="H94" s="45"/>
      <c r="I94" s="43"/>
      <c r="J94" s="43"/>
      <c r="K94" s="43"/>
      <c r="L94" s="43"/>
      <c r="M94" s="43"/>
    </row>
    <row r="95" spans="1:15" ht="12.95" hidden="1" customHeight="1" x14ac:dyDescent="0.2">
      <c r="A95" s="43" t="s">
        <v>26</v>
      </c>
      <c r="B95" s="43"/>
      <c r="C95" s="41">
        <f>+C54+C19+C22</f>
        <v>46000</v>
      </c>
      <c r="D95" s="41">
        <f>+D54+D19+D22</f>
        <v>48500</v>
      </c>
      <c r="E95" s="41">
        <f>+E54+E19+E22</f>
        <v>51000</v>
      </c>
      <c r="F95" s="41">
        <f>+F54+F19+F22</f>
        <v>53500</v>
      </c>
      <c r="G95" s="41">
        <f>+G54+G19+G22</f>
        <v>56000</v>
      </c>
      <c r="H95" s="41"/>
      <c r="I95" s="41">
        <f>+I54+I19+I22</f>
        <v>43270.8</v>
      </c>
      <c r="J95" s="41">
        <f>+J54+J19+J22</f>
        <v>43311.684999999998</v>
      </c>
      <c r="K95" s="41">
        <f>+K54+K19+K22</f>
        <v>43311.684999999998</v>
      </c>
      <c r="L95" s="41">
        <f>+L54+L19+L22</f>
        <v>43311.684999999998</v>
      </c>
      <c r="M95" s="41">
        <f>+M54+M19+M22</f>
        <v>43393.455000000002</v>
      </c>
    </row>
    <row r="96" spans="1:15" ht="12.95" hidden="1" customHeight="1" x14ac:dyDescent="0.2">
      <c r="A96" s="43"/>
      <c r="B96" s="43"/>
      <c r="C96" s="41"/>
      <c r="D96" s="41"/>
      <c r="E96" s="41"/>
      <c r="F96" s="41"/>
      <c r="G96" s="41"/>
      <c r="H96" s="45"/>
      <c r="I96" s="43"/>
      <c r="J96" s="43"/>
      <c r="K96" s="43"/>
      <c r="L96" s="43"/>
      <c r="M96" s="43"/>
    </row>
    <row r="97" spans="1:13" ht="12.95" hidden="1" customHeight="1" x14ac:dyDescent="0.2">
      <c r="A97" s="43" t="s">
        <v>36</v>
      </c>
      <c r="B97" s="43"/>
      <c r="C97" s="41">
        <v>1</v>
      </c>
      <c r="D97" s="43">
        <v>1</v>
      </c>
      <c r="E97" s="43">
        <v>1</v>
      </c>
      <c r="F97" s="43">
        <v>1</v>
      </c>
      <c r="G97" s="43">
        <v>1</v>
      </c>
      <c r="H97" s="45"/>
      <c r="I97" s="43">
        <v>1</v>
      </c>
      <c r="J97" s="43">
        <v>1</v>
      </c>
      <c r="K97" s="43">
        <v>1</v>
      </c>
      <c r="L97" s="43">
        <v>1</v>
      </c>
      <c r="M97" s="43">
        <v>1</v>
      </c>
    </row>
    <row r="98" spans="1:13" ht="12.95" hidden="1" customHeight="1" x14ac:dyDescent="0.2">
      <c r="A98" s="43">
        <v>20</v>
      </c>
      <c r="B98" s="43"/>
      <c r="C98" s="41">
        <f t="shared" ref="C98:G100" si="32">+IF(C$18+C$20&gt;C65,1,0)</f>
        <v>1</v>
      </c>
      <c r="D98" s="41">
        <f t="shared" si="32"/>
        <v>1</v>
      </c>
      <c r="E98" s="41">
        <f t="shared" si="32"/>
        <v>1</v>
      </c>
      <c r="F98" s="41">
        <f t="shared" si="32"/>
        <v>1</v>
      </c>
      <c r="G98" s="41">
        <f t="shared" si="32"/>
        <v>1</v>
      </c>
      <c r="H98" s="42"/>
      <c r="I98" s="41">
        <f>+IF(I$18+I$20&gt;I65,1,0)</f>
        <v>1</v>
      </c>
      <c r="J98" s="41">
        <f t="shared" ref="I98:M100" si="33">+IF(J$18+J$20&gt;J65,1,0)</f>
        <v>1</v>
      </c>
      <c r="K98" s="41">
        <f t="shared" si="33"/>
        <v>1</v>
      </c>
      <c r="L98" s="41">
        <f t="shared" si="33"/>
        <v>1</v>
      </c>
      <c r="M98" s="41">
        <f t="shared" si="33"/>
        <v>1</v>
      </c>
    </row>
    <row r="99" spans="1:13" ht="12.95" hidden="1" customHeight="1" x14ac:dyDescent="0.2">
      <c r="A99" s="43">
        <v>40</v>
      </c>
      <c r="B99" s="43"/>
      <c r="C99" s="41">
        <f t="shared" si="32"/>
        <v>1</v>
      </c>
      <c r="D99" s="41">
        <f t="shared" si="32"/>
        <v>1</v>
      </c>
      <c r="E99" s="41">
        <f t="shared" si="32"/>
        <v>1</v>
      </c>
      <c r="F99" s="41">
        <f t="shared" si="32"/>
        <v>1</v>
      </c>
      <c r="G99" s="41">
        <f t="shared" si="32"/>
        <v>1</v>
      </c>
      <c r="H99" s="42"/>
      <c r="I99" s="41">
        <f t="shared" si="33"/>
        <v>0</v>
      </c>
      <c r="J99" s="41">
        <f t="shared" si="33"/>
        <v>0</v>
      </c>
      <c r="K99" s="41">
        <f t="shared" si="33"/>
        <v>0</v>
      </c>
      <c r="L99" s="41">
        <f t="shared" si="33"/>
        <v>0</v>
      </c>
      <c r="M99" s="41">
        <f t="shared" si="33"/>
        <v>0</v>
      </c>
    </row>
    <row r="100" spans="1:13" ht="12.95" hidden="1" customHeight="1" x14ac:dyDescent="0.2">
      <c r="A100" s="43">
        <v>45</v>
      </c>
      <c r="B100" s="43"/>
      <c r="C100" s="41">
        <f t="shared" si="32"/>
        <v>0</v>
      </c>
      <c r="D100" s="41">
        <f t="shared" si="32"/>
        <v>0</v>
      </c>
      <c r="E100" s="41">
        <f t="shared" si="32"/>
        <v>0</v>
      </c>
      <c r="F100" s="41">
        <f t="shared" si="32"/>
        <v>0</v>
      </c>
      <c r="G100" s="41">
        <f t="shared" si="32"/>
        <v>0</v>
      </c>
      <c r="H100" s="42"/>
      <c r="I100" s="41">
        <f t="shared" si="33"/>
        <v>0</v>
      </c>
      <c r="J100" s="41">
        <f t="shared" si="33"/>
        <v>0</v>
      </c>
      <c r="K100" s="41">
        <f t="shared" si="33"/>
        <v>0</v>
      </c>
      <c r="L100" s="41">
        <f t="shared" si="33"/>
        <v>0</v>
      </c>
      <c r="M100" s="41">
        <f t="shared" si="33"/>
        <v>0</v>
      </c>
    </row>
    <row r="101" spans="1:13" ht="12.95" hidden="1" customHeight="1" x14ac:dyDescent="0.2">
      <c r="A101" s="43"/>
      <c r="B101" s="43"/>
      <c r="C101" s="43"/>
      <c r="D101" s="43"/>
      <c r="E101" s="43"/>
      <c r="F101" s="43"/>
      <c r="G101" s="43"/>
      <c r="H101" s="45"/>
      <c r="I101" s="43"/>
      <c r="J101" s="43"/>
      <c r="K101" s="43"/>
      <c r="L101" s="43"/>
      <c r="M101" s="43"/>
    </row>
    <row r="102" spans="1:13" ht="12.95" hidden="1" customHeight="1" x14ac:dyDescent="0.2">
      <c r="A102" s="43" t="s">
        <v>35</v>
      </c>
      <c r="B102" s="43"/>
      <c r="C102" s="43">
        <v>1</v>
      </c>
      <c r="D102" s="43">
        <v>1</v>
      </c>
      <c r="E102" s="43">
        <v>1</v>
      </c>
      <c r="F102" s="43">
        <v>1</v>
      </c>
      <c r="G102" s="43">
        <v>1</v>
      </c>
      <c r="H102" s="45"/>
      <c r="I102" s="43">
        <v>1</v>
      </c>
      <c r="J102" s="43">
        <v>1</v>
      </c>
      <c r="K102" s="43">
        <v>1</v>
      </c>
      <c r="L102" s="43">
        <v>1</v>
      </c>
      <c r="M102" s="43">
        <v>1</v>
      </c>
    </row>
    <row r="103" spans="1:13" ht="12.95" hidden="1" customHeight="1" x14ac:dyDescent="0.2">
      <c r="A103" s="43">
        <v>20</v>
      </c>
      <c r="B103" s="43"/>
      <c r="C103" s="43">
        <f t="shared" ref="C103:G105" si="34">+IF(C$95&gt;C65,1,0)</f>
        <v>1</v>
      </c>
      <c r="D103" s="43">
        <f t="shared" si="34"/>
        <v>1</v>
      </c>
      <c r="E103" s="43">
        <f t="shared" si="34"/>
        <v>1</v>
      </c>
      <c r="F103" s="43">
        <f t="shared" si="34"/>
        <v>1</v>
      </c>
      <c r="G103" s="43">
        <f t="shared" si="34"/>
        <v>1</v>
      </c>
      <c r="H103" s="45"/>
      <c r="I103" s="43">
        <f t="shared" ref="I103:M105" si="35">+IF(I$95&gt;I65,1,0)</f>
        <v>1</v>
      </c>
      <c r="J103" s="43">
        <f t="shared" si="35"/>
        <v>1</v>
      </c>
      <c r="K103" s="43">
        <f t="shared" si="35"/>
        <v>1</v>
      </c>
      <c r="L103" s="43">
        <f t="shared" si="35"/>
        <v>1</v>
      </c>
      <c r="M103" s="43">
        <f t="shared" si="35"/>
        <v>1</v>
      </c>
    </row>
    <row r="104" spans="1:13" ht="12.95" hidden="1" customHeight="1" x14ac:dyDescent="0.2">
      <c r="A104" s="43">
        <v>40</v>
      </c>
      <c r="B104" s="43"/>
      <c r="C104" s="43">
        <f t="shared" si="34"/>
        <v>1</v>
      </c>
      <c r="D104" s="43">
        <f t="shared" si="34"/>
        <v>1</v>
      </c>
      <c r="E104" s="43">
        <f t="shared" si="34"/>
        <v>1</v>
      </c>
      <c r="F104" s="43">
        <f t="shared" si="34"/>
        <v>1</v>
      </c>
      <c r="G104" s="43">
        <f t="shared" si="34"/>
        <v>1</v>
      </c>
      <c r="H104" s="45"/>
      <c r="I104" s="43">
        <f t="shared" si="35"/>
        <v>1</v>
      </c>
      <c r="J104" s="43">
        <f t="shared" si="35"/>
        <v>0</v>
      </c>
      <c r="K104" s="43">
        <f t="shared" si="35"/>
        <v>0</v>
      </c>
      <c r="L104" s="43">
        <f t="shared" si="35"/>
        <v>0</v>
      </c>
      <c r="M104" s="43">
        <f t="shared" si="35"/>
        <v>0</v>
      </c>
    </row>
    <row r="105" spans="1:13" ht="12.95" hidden="1" customHeight="1" x14ac:dyDescent="0.2">
      <c r="A105" s="43">
        <v>45</v>
      </c>
      <c r="B105" s="43"/>
      <c r="C105" s="43">
        <f t="shared" si="34"/>
        <v>0</v>
      </c>
      <c r="D105" s="43">
        <f t="shared" si="34"/>
        <v>0</v>
      </c>
      <c r="E105" s="43">
        <f t="shared" si="34"/>
        <v>0</v>
      </c>
      <c r="F105" s="43">
        <f t="shared" si="34"/>
        <v>0</v>
      </c>
      <c r="G105" s="43">
        <f t="shared" si="34"/>
        <v>0</v>
      </c>
      <c r="H105" s="45"/>
      <c r="I105" s="43">
        <f t="shared" si="35"/>
        <v>0</v>
      </c>
      <c r="J105" s="43">
        <f t="shared" si="35"/>
        <v>0</v>
      </c>
      <c r="K105" s="43">
        <f t="shared" si="35"/>
        <v>0</v>
      </c>
      <c r="L105" s="43">
        <f t="shared" si="35"/>
        <v>0</v>
      </c>
      <c r="M105" s="43">
        <f t="shared" si="35"/>
        <v>0</v>
      </c>
    </row>
    <row r="106" spans="1:13" ht="12.95" hidden="1" customHeight="1" x14ac:dyDescent="0.2">
      <c r="A106" s="43"/>
      <c r="B106" s="43"/>
      <c r="C106" s="43"/>
      <c r="D106" s="43"/>
      <c r="E106" s="43"/>
      <c r="F106" s="43"/>
      <c r="G106" s="43"/>
      <c r="H106" s="45"/>
      <c r="I106" s="43"/>
      <c r="J106" s="43"/>
      <c r="K106" s="43"/>
      <c r="L106" s="43"/>
      <c r="M106" s="43"/>
    </row>
    <row r="107" spans="1:13" ht="12.95" hidden="1" customHeight="1" x14ac:dyDescent="0.2">
      <c r="A107" s="43">
        <v>4545</v>
      </c>
      <c r="B107" s="43"/>
      <c r="C107" s="43">
        <f>C105*C100</f>
        <v>0</v>
      </c>
      <c r="D107" s="43">
        <f t="shared" ref="D107:G107" si="36">D105*D100</f>
        <v>0</v>
      </c>
      <c r="E107" s="43">
        <f t="shared" si="36"/>
        <v>0</v>
      </c>
      <c r="F107" s="43">
        <f t="shared" si="36"/>
        <v>0</v>
      </c>
      <c r="G107" s="43">
        <f t="shared" si="36"/>
        <v>0</v>
      </c>
      <c r="H107" s="45"/>
      <c r="I107" s="43">
        <f t="shared" ref="I107:M107" si="37">I105*I100</f>
        <v>0</v>
      </c>
      <c r="J107" s="43">
        <f t="shared" si="37"/>
        <v>0</v>
      </c>
      <c r="K107" s="43">
        <f t="shared" si="37"/>
        <v>0</v>
      </c>
      <c r="L107" s="43">
        <f t="shared" si="37"/>
        <v>0</v>
      </c>
      <c r="M107" s="43">
        <f t="shared" si="37"/>
        <v>0</v>
      </c>
    </row>
    <row r="108" spans="1:13" ht="12.95" hidden="1" customHeight="1" x14ac:dyDescent="0.2">
      <c r="A108" s="43">
        <v>4540</v>
      </c>
      <c r="B108" s="43"/>
      <c r="C108" s="43">
        <f>C105*(C99-C100)</f>
        <v>0</v>
      </c>
      <c r="D108" s="43">
        <f t="shared" ref="D108:G108" si="38">D105*(D99-D100)</f>
        <v>0</v>
      </c>
      <c r="E108" s="43">
        <f t="shared" si="38"/>
        <v>0</v>
      </c>
      <c r="F108" s="43">
        <f t="shared" si="38"/>
        <v>0</v>
      </c>
      <c r="G108" s="43">
        <f t="shared" si="38"/>
        <v>0</v>
      </c>
      <c r="H108" s="45"/>
      <c r="I108" s="43">
        <f t="shared" ref="I108:M108" si="39">I105*(I99-I100)</f>
        <v>0</v>
      </c>
      <c r="J108" s="43">
        <f t="shared" si="39"/>
        <v>0</v>
      </c>
      <c r="K108" s="43">
        <f t="shared" si="39"/>
        <v>0</v>
      </c>
      <c r="L108" s="43">
        <f t="shared" si="39"/>
        <v>0</v>
      </c>
      <c r="M108" s="43">
        <f t="shared" si="39"/>
        <v>0</v>
      </c>
    </row>
    <row r="109" spans="1:13" ht="12.95" hidden="1" customHeight="1" x14ac:dyDescent="0.2">
      <c r="A109" s="43">
        <v>4520</v>
      </c>
      <c r="B109" s="43"/>
      <c r="C109" s="43">
        <f>C105*(C98-C99)</f>
        <v>0</v>
      </c>
      <c r="D109" s="43">
        <f t="shared" ref="D109:G109" si="40">D105*(D98-D99)</f>
        <v>0</v>
      </c>
      <c r="E109" s="43">
        <f t="shared" si="40"/>
        <v>0</v>
      </c>
      <c r="F109" s="43">
        <f t="shared" si="40"/>
        <v>0</v>
      </c>
      <c r="G109" s="43">
        <f t="shared" si="40"/>
        <v>0</v>
      </c>
      <c r="H109" s="45"/>
      <c r="I109" s="43">
        <f t="shared" ref="I109:M109" si="41">I105*(I98-I99)</f>
        <v>0</v>
      </c>
      <c r="J109" s="43">
        <f t="shared" si="41"/>
        <v>0</v>
      </c>
      <c r="K109" s="43">
        <f t="shared" si="41"/>
        <v>0</v>
      </c>
      <c r="L109" s="43">
        <f t="shared" si="41"/>
        <v>0</v>
      </c>
      <c r="M109" s="43">
        <f t="shared" si="41"/>
        <v>0</v>
      </c>
    </row>
    <row r="110" spans="1:13" ht="12.95" hidden="1" customHeight="1" x14ac:dyDescent="0.2">
      <c r="A110" s="43">
        <v>4500</v>
      </c>
      <c r="B110" s="43"/>
      <c r="C110" s="43">
        <f>C105*(C97-C98)</f>
        <v>0</v>
      </c>
      <c r="D110" s="43">
        <f t="shared" ref="D110:G110" si="42">D105*(D97-D98)</f>
        <v>0</v>
      </c>
      <c r="E110" s="43">
        <f t="shared" si="42"/>
        <v>0</v>
      </c>
      <c r="F110" s="43">
        <f t="shared" si="42"/>
        <v>0</v>
      </c>
      <c r="G110" s="43">
        <f t="shared" si="42"/>
        <v>0</v>
      </c>
      <c r="H110" s="45"/>
      <c r="I110" s="43">
        <f t="shared" ref="I110:M110" si="43">I105*(I97-I98)</f>
        <v>0</v>
      </c>
      <c r="J110" s="43">
        <f t="shared" si="43"/>
        <v>0</v>
      </c>
      <c r="K110" s="43">
        <f t="shared" si="43"/>
        <v>0</v>
      </c>
      <c r="L110" s="43">
        <f t="shared" si="43"/>
        <v>0</v>
      </c>
      <c r="M110" s="43">
        <f t="shared" si="43"/>
        <v>0</v>
      </c>
    </row>
    <row r="111" spans="1:13" ht="12.95" hidden="1" customHeight="1" x14ac:dyDescent="0.2">
      <c r="A111" s="43">
        <v>4040</v>
      </c>
      <c r="B111" s="43"/>
      <c r="C111" s="43">
        <f>(C$104-C$105)*C99</f>
        <v>1</v>
      </c>
      <c r="D111" s="43">
        <f t="shared" ref="D111:G111" si="44">(D$104-D$105)*D99</f>
        <v>1</v>
      </c>
      <c r="E111" s="43">
        <f t="shared" si="44"/>
        <v>1</v>
      </c>
      <c r="F111" s="43">
        <f t="shared" si="44"/>
        <v>1</v>
      </c>
      <c r="G111" s="43">
        <f t="shared" si="44"/>
        <v>1</v>
      </c>
      <c r="H111" s="45"/>
      <c r="I111" s="43">
        <f>(I$104-I$105)*I99</f>
        <v>0</v>
      </c>
      <c r="J111" s="43">
        <f>(J$104-J$105)*J99</f>
        <v>0</v>
      </c>
      <c r="K111" s="43">
        <f>(K$104-K$105)*K99</f>
        <v>0</v>
      </c>
      <c r="L111" s="43">
        <f>(L$104-L$105)*L99</f>
        <v>0</v>
      </c>
      <c r="M111" s="43">
        <f>(M$104-M$105)*M99</f>
        <v>0</v>
      </c>
    </row>
    <row r="112" spans="1:13" ht="12.95" hidden="1" customHeight="1" x14ac:dyDescent="0.2">
      <c r="A112" s="43">
        <v>4020</v>
      </c>
      <c r="B112" s="43"/>
      <c r="C112" s="43">
        <f>(C$104-C$105)*(C98-C99)</f>
        <v>0</v>
      </c>
      <c r="D112" s="43">
        <f t="shared" ref="D112:G112" si="45">(D$104-D$105)*(D98-D99)</f>
        <v>0</v>
      </c>
      <c r="E112" s="43">
        <f t="shared" si="45"/>
        <v>0</v>
      </c>
      <c r="F112" s="43">
        <f t="shared" si="45"/>
        <v>0</v>
      </c>
      <c r="G112" s="43">
        <f t="shared" si="45"/>
        <v>0</v>
      </c>
      <c r="H112" s="45"/>
      <c r="I112" s="43">
        <f>(I$104-I$105)*(I98-I99)</f>
        <v>1</v>
      </c>
      <c r="J112" s="43">
        <f>(J$104-J$105)*(J98-J99)</f>
        <v>0</v>
      </c>
      <c r="K112" s="43">
        <f>(K$104-K$105)*(K98-K99)</f>
        <v>0</v>
      </c>
      <c r="L112" s="43">
        <f>(L$104-L$105)*(L98-L99)</f>
        <v>0</v>
      </c>
      <c r="M112" s="43">
        <f>(M$104-M$105)*(M98-M99)</f>
        <v>0</v>
      </c>
    </row>
    <row r="113" spans="1:13" ht="12.95" hidden="1" customHeight="1" x14ac:dyDescent="0.2">
      <c r="A113" s="43">
        <v>4000</v>
      </c>
      <c r="B113" s="43"/>
      <c r="C113" s="43">
        <f>(C$104-C$105)*(C97-C98)</f>
        <v>0</v>
      </c>
      <c r="D113" s="43">
        <f t="shared" ref="D113:G113" si="46">(D$104-D$105)*(D97-D98)</f>
        <v>0</v>
      </c>
      <c r="E113" s="43">
        <f t="shared" si="46"/>
        <v>0</v>
      </c>
      <c r="F113" s="43">
        <f t="shared" si="46"/>
        <v>0</v>
      </c>
      <c r="G113" s="43">
        <f t="shared" si="46"/>
        <v>0</v>
      </c>
      <c r="H113" s="45"/>
      <c r="I113" s="43">
        <f>(I$104-I$105)*(I97-I98)</f>
        <v>0</v>
      </c>
      <c r="J113" s="43">
        <f>(J$104-J$105)*(J97-J98)</f>
        <v>0</v>
      </c>
      <c r="K113" s="43">
        <f>(K$104-K$105)*(K97-K98)</f>
        <v>0</v>
      </c>
      <c r="L113" s="43">
        <f>(L$104-L$105)*(L97-L98)</f>
        <v>0</v>
      </c>
      <c r="M113" s="43">
        <f>(M$104-M$105)*(M97-M98)</f>
        <v>0</v>
      </c>
    </row>
    <row r="114" spans="1:13" ht="12.95" hidden="1" customHeight="1" x14ac:dyDescent="0.2">
      <c r="A114" s="43">
        <v>2020</v>
      </c>
      <c r="B114" s="43"/>
      <c r="C114" s="43">
        <f>(C$103-C$104)*C98</f>
        <v>0</v>
      </c>
      <c r="D114" s="43">
        <f t="shared" ref="D114:G114" si="47">(D$103-D$104)*D98</f>
        <v>0</v>
      </c>
      <c r="E114" s="43">
        <f t="shared" si="47"/>
        <v>0</v>
      </c>
      <c r="F114" s="43">
        <f t="shared" si="47"/>
        <v>0</v>
      </c>
      <c r="G114" s="43">
        <f t="shared" si="47"/>
        <v>0</v>
      </c>
      <c r="H114" s="45"/>
      <c r="I114" s="43">
        <f>(I$103-I$104)*I98</f>
        <v>0</v>
      </c>
      <c r="J114" s="43">
        <f>(J$103-J$104)*J98</f>
        <v>1</v>
      </c>
      <c r="K114" s="43">
        <f>(K$103-K$104)*K98</f>
        <v>1</v>
      </c>
      <c r="L114" s="43">
        <f>(L$103-L$104)*L98</f>
        <v>1</v>
      </c>
      <c r="M114" s="43">
        <f>(M$103-M$104)*M98</f>
        <v>1</v>
      </c>
    </row>
    <row r="115" spans="1:13" ht="12.95" hidden="1" customHeight="1" x14ac:dyDescent="0.2">
      <c r="A115" s="43">
        <v>2000</v>
      </c>
      <c r="B115" s="43"/>
      <c r="C115" s="43">
        <f>(C$103-C$104)*(C97-C98)</f>
        <v>0</v>
      </c>
      <c r="D115" s="43">
        <f t="shared" ref="D115:G115" si="48">(D$103-D$104)*(D97-D98)</f>
        <v>0</v>
      </c>
      <c r="E115" s="43">
        <f t="shared" si="48"/>
        <v>0</v>
      </c>
      <c r="F115" s="43">
        <f t="shared" si="48"/>
        <v>0</v>
      </c>
      <c r="G115" s="43">
        <f t="shared" si="48"/>
        <v>0</v>
      </c>
      <c r="H115" s="45"/>
      <c r="I115" s="43">
        <f>(I$103-I$104)*(I97-I98)</f>
        <v>0</v>
      </c>
      <c r="J115" s="43">
        <f>(J$103-J$104)*(J97-J98)</f>
        <v>0</v>
      </c>
      <c r="K115" s="43">
        <f>(K$103-K$104)*(K97-K98)</f>
        <v>0</v>
      </c>
      <c r="L115" s="43">
        <f>(L$103-L$104)*(L97-L98)</f>
        <v>0</v>
      </c>
      <c r="M115" s="43">
        <f>(M$103-M$104)*(M97-M98)</f>
        <v>0</v>
      </c>
    </row>
    <row r="116" spans="1:13" ht="12.95" hidden="1" customHeight="1" x14ac:dyDescent="0.2">
      <c r="A116" s="43">
        <v>0</v>
      </c>
      <c r="B116" s="43"/>
      <c r="C116" s="43"/>
      <c r="D116" s="43"/>
      <c r="E116" s="43"/>
      <c r="F116" s="43"/>
      <c r="G116" s="43"/>
      <c r="H116" s="45"/>
      <c r="I116" s="43"/>
      <c r="J116" s="43"/>
      <c r="K116" s="43"/>
      <c r="L116" s="43"/>
      <c r="M116" s="43"/>
    </row>
    <row r="117" spans="1:13" ht="12.95" hidden="1" customHeight="1" x14ac:dyDescent="0.2">
      <c r="A117" s="43"/>
      <c r="B117" s="43"/>
      <c r="C117" s="43"/>
      <c r="D117" s="43"/>
      <c r="E117" s="43"/>
      <c r="F117" s="43"/>
      <c r="G117" s="43"/>
      <c r="H117" s="45"/>
      <c r="I117" s="43"/>
      <c r="J117" s="43"/>
      <c r="K117" s="43"/>
      <c r="L117" s="43"/>
      <c r="M117" s="43"/>
    </row>
    <row r="118" spans="1:13" ht="12.95" hidden="1" customHeight="1" x14ac:dyDescent="0.2">
      <c r="A118" s="43" t="s">
        <v>37</v>
      </c>
      <c r="B118" s="43"/>
      <c r="C118" s="41"/>
      <c r="D118" s="41"/>
      <c r="E118" s="41"/>
      <c r="F118" s="41"/>
      <c r="G118" s="41"/>
      <c r="H118" s="42"/>
      <c r="I118" s="41"/>
      <c r="J118" s="41"/>
      <c r="K118" s="41"/>
      <c r="L118" s="41"/>
      <c r="M118" s="41"/>
    </row>
    <row r="119" spans="1:13" ht="12.95" hidden="1" customHeight="1" x14ac:dyDescent="0.2">
      <c r="A119" s="43">
        <f>A107</f>
        <v>4545</v>
      </c>
      <c r="C119" s="41">
        <f>C$87*(C$95-C$20-C$18)</f>
        <v>0</v>
      </c>
      <c r="D119" s="41">
        <f>D$87*(D$95-D$20-D$18)</f>
        <v>0</v>
      </c>
      <c r="E119" s="41">
        <f>E$87*(E$95-E$20-E$18)</f>
        <v>0</v>
      </c>
      <c r="F119" s="41">
        <f>F$87*(F$95-F$20-F$18)</f>
        <v>0</v>
      </c>
      <c r="G119" s="41">
        <f>G$87*(G$95-G$20-G$18)</f>
        <v>0</v>
      </c>
      <c r="H119" s="42"/>
      <c r="I119" s="41">
        <f>I$87*(I$95-I$20-I$18)</f>
        <v>1246.1748000000011</v>
      </c>
      <c r="J119" s="41">
        <f>J$87*(J$95-J$20-J$18)</f>
        <v>1261.7519849999992</v>
      </c>
      <c r="K119" s="41">
        <f>K$87*(K$95-K$20-K$18)</f>
        <v>1261.7519849999992</v>
      </c>
      <c r="L119" s="41">
        <f>L$87*(L$95-L$20-L$18)</f>
        <v>1261.7519849999992</v>
      </c>
      <c r="M119" s="41">
        <f>M$87*(M$95-M$20-M$18)</f>
        <v>1292.9063550000008</v>
      </c>
    </row>
    <row r="120" spans="1:13" ht="12.95" hidden="1" customHeight="1" x14ac:dyDescent="0.2">
      <c r="A120" s="43">
        <f t="shared" ref="A120:A128" si="49">A108</f>
        <v>4540</v>
      </c>
      <c r="C120" s="41">
        <f>C$87*(C$95-C$67)+C$86*(C$67-C$20-C$18)</f>
        <v>-6440</v>
      </c>
      <c r="D120" s="41">
        <f>D$87*(D$95-D$67)+D$86*(D$67-D$20-D$18)</f>
        <v>-6328</v>
      </c>
      <c r="E120" s="41">
        <f>E$87*(E$95-E$67)+E$86*(E$67-E$20-E$18)</f>
        <v>-6188</v>
      </c>
      <c r="F120" s="41">
        <f>F$87*(F$95-F$67)+F$86*(F$67-F$20-F$18)</f>
        <v>-6048</v>
      </c>
      <c r="G120" s="41">
        <f>G$87*(G$95-G$67)+G$86*(G$67-G$20-G$18)</f>
        <v>-5908</v>
      </c>
      <c r="H120" s="42"/>
      <c r="I120" s="41">
        <f>I$87*(I$95-I$67)+I$86*(I$67-I$20-I$18)</f>
        <v>-5529.8251999999993</v>
      </c>
      <c r="J120" s="41">
        <f>J$87*(J$95-J$67)+J$86*(J$67-J$20-J$18)</f>
        <v>-5542.2480150000047</v>
      </c>
      <c r="K120" s="41">
        <f>K$87*(K$95-K$67)+K$86*(K$67-K$20-K$18)</f>
        <v>-5542.2480150000047</v>
      </c>
      <c r="L120" s="41">
        <f>L$87*(L$95-L$67)+L$86*(L$67-L$20-L$18)</f>
        <v>-5542.2480150000047</v>
      </c>
      <c r="M120" s="41">
        <f>M$87*(M$95-M$67)+M$86*(M$67-M$20-M$18)</f>
        <v>-5511.0936450000008</v>
      </c>
    </row>
    <row r="121" spans="1:13" ht="12.95" hidden="1" customHeight="1" x14ac:dyDescent="0.2">
      <c r="A121" s="43">
        <f t="shared" si="49"/>
        <v>4520</v>
      </c>
      <c r="C121" s="41">
        <f>C$87*(C$95-C$67)+C$86*(C$67-C$66)+C$85*(C$66-C$20-C$18)</f>
        <v>-5690</v>
      </c>
      <c r="D121" s="41">
        <f>D$87*(D$95-D$67)+D$86*(D$67-D$66)+D$85*(D$66-D$20-D$18)</f>
        <v>-5453</v>
      </c>
      <c r="E121" s="41">
        <f>E$87*(E$95-E$67)+E$86*(E$67-E$66)+E$85*(E$66-E$20-E$18)</f>
        <v>-4688</v>
      </c>
      <c r="F121" s="41">
        <f>F$87*(F$95-F$67)+F$86*(F$67-F$66)+F$85*(F$66-F$20-F$18)</f>
        <v>-3923</v>
      </c>
      <c r="G121" s="41">
        <f>G$87*(G$95-G$67)+G$86*(G$67-G$66)+G$85*(G$66-G$20-G$18)</f>
        <v>-3158</v>
      </c>
      <c r="H121" s="42"/>
      <c r="I121" s="41">
        <f>I$87*(I$95-I$67)+I$86*(I$67-I$66)+I$85*(I$66-I$20-I$18)</f>
        <v>-6279.8251999999993</v>
      </c>
      <c r="J121" s="41">
        <f>J$87*(J$95-J$67)+J$86*(J$67-J$66)+J$85*(J$66-J$20-J$18)</f>
        <v>-6792.2480150000047</v>
      </c>
      <c r="K121" s="41">
        <f>K$87*(K$95-K$67)+K$86*(K$67-K$66)+K$85*(K$66-K$20-K$18)</f>
        <v>-6792.2480150000047</v>
      </c>
      <c r="L121" s="41">
        <f>L$87*(L$95-L$67)+L$86*(L$67-L$66)+L$85*(L$66-L$20-L$18)</f>
        <v>-6792.2480150000047</v>
      </c>
      <c r="M121" s="41">
        <f>M$87*(M$95-M$67)+M$86*(M$67-M$66)+M$85*(M$66-M$20-M$18)</f>
        <v>-6761.0936450000008</v>
      </c>
    </row>
    <row r="122" spans="1:13" ht="12.95" hidden="1" customHeight="1" x14ac:dyDescent="0.2">
      <c r="A122" s="43">
        <f t="shared" si="49"/>
        <v>4500</v>
      </c>
      <c r="C122" s="41">
        <f>C$87*(C$95-C$67)+C$86*(C$67-C$66)+C$85*(C$66-C$65)+C$83*(C$65-C$20-C$18)</f>
        <v>-3065</v>
      </c>
      <c r="D122" s="41">
        <f>D$87*(D$95-D$67)+D$86*(D$67-D$66)+D$85*(D$66-D$65)+D$83*(D$65-D$20-D$18)</f>
        <v>-2678</v>
      </c>
      <c r="E122" s="41">
        <f>E$87*(E$95-E$67)+E$86*(E$67-E$66)+E$85*(E$66-E$65)+E$83*(E$65-E$20-E$18)</f>
        <v>-1725.5</v>
      </c>
      <c r="F122" s="41">
        <f>F$87*(F$95-F$67)+F$86*(F$67-F$66)+F$85*(F$66-F$65)+F$83*(F$65-F$20-F$18)</f>
        <v>-773</v>
      </c>
      <c r="G122" s="41">
        <f>G$87*(G$95-G$67)+G$86*(G$67-G$66)+G$85*(G$66-G$65)+G$83*(G$65-G$20-G$18)</f>
        <v>179.5</v>
      </c>
      <c r="H122" s="42"/>
      <c r="I122" s="41">
        <f>I$87*(I$95-I$67)+I$86*(I$67-I$66)+I$85*(I$66-I$65)+I$83*(I$65-I$20-I$18)</f>
        <v>-4104.8251999999993</v>
      </c>
      <c r="J122" s="41">
        <f>J$87*(J$95-J$67)+J$86*(J$67-J$66)+J$85*(J$66-J$65)+J$83*(J$65-J$20-J$18)</f>
        <v>-4654.7480150000047</v>
      </c>
      <c r="K122" s="41">
        <f>K$87*(K$95-K$67)+K$86*(K$67-K$66)+K$85*(K$66-K$65)+K$83*(K$65-K$20-K$18)</f>
        <v>-4654.7480150000047</v>
      </c>
      <c r="L122" s="41">
        <f>L$87*(L$95-L$67)+L$86*(L$67-L$66)+L$85*(L$66-L$65)+L$83*(L$65-L$20-L$18)</f>
        <v>-4654.7480150000047</v>
      </c>
      <c r="M122" s="41">
        <f>M$87*(M$95-M$67)+M$86*(M$67-M$66)+M$85*(M$66-M$65)+M$83*(M$65-M$20-M$18)</f>
        <v>-4623.5936450000008</v>
      </c>
    </row>
    <row r="123" spans="1:13" ht="12.95" hidden="1" customHeight="1" x14ac:dyDescent="0.2">
      <c r="A123" s="43">
        <f t="shared" si="49"/>
        <v>4040</v>
      </c>
      <c r="C123" s="41">
        <f>C$86*(C$95-C$20-C$18)</f>
        <v>0</v>
      </c>
      <c r="D123" s="41">
        <f>D$86*(D$95-D$20-D$18)</f>
        <v>0</v>
      </c>
      <c r="E123" s="41">
        <f>E$86*(E$95-E$20-E$18)</f>
        <v>0</v>
      </c>
      <c r="F123" s="41">
        <f>F$86*(F$95-F$20-F$18)</f>
        <v>0</v>
      </c>
      <c r="G123" s="41">
        <f>G$86*(G$95-G$20-G$18)</f>
        <v>0</v>
      </c>
      <c r="H123" s="42"/>
      <c r="I123" s="41">
        <f>I$86*(I$95-I$20-I$18)</f>
        <v>1063.0100000000009</v>
      </c>
      <c r="J123" s="41">
        <f>J$86*(J$95-J$20-J$18)</f>
        <v>1076.2976249999992</v>
      </c>
      <c r="K123" s="41">
        <f>K$86*(K$95-K$20-K$18)</f>
        <v>1076.2976249999992</v>
      </c>
      <c r="L123" s="41">
        <f>L$86*(L$95-L$20-L$18)</f>
        <v>1076.2976249999992</v>
      </c>
      <c r="M123" s="41">
        <f>M$86*(M$95-M$20-M$18)</f>
        <v>1102.8728750000007</v>
      </c>
    </row>
    <row r="124" spans="1:13" ht="12.95" hidden="1" customHeight="1" x14ac:dyDescent="0.2">
      <c r="A124" s="43">
        <f t="shared" si="49"/>
        <v>4020</v>
      </c>
      <c r="C124" s="41">
        <f>C$86*(C$95-C$66)+C$85*(C$66-C$20-C$18)</f>
        <v>750</v>
      </c>
      <c r="D124" s="41">
        <f>D$86*(D$95-D$66)+D$85*(D$66-D$20-D$18)</f>
        <v>875</v>
      </c>
      <c r="E124" s="41">
        <f>E$86*(E$95-E$66)+E$85*(E$66-E$20-E$18)</f>
        <v>1500</v>
      </c>
      <c r="F124" s="41">
        <f>F$86*(F$95-F$66)+F$85*(F$66-F$20-F$18)</f>
        <v>2125</v>
      </c>
      <c r="G124" s="41">
        <f>G$86*(G$95-G$66)+G$85*(G$66-G$20-G$18)</f>
        <v>2750</v>
      </c>
      <c r="H124" s="42"/>
      <c r="I124" s="41">
        <f>I$86*(I$95-I$66)+I$85*(I$66-I$20-I$18)</f>
        <v>313.01000000000096</v>
      </c>
      <c r="J124" s="41">
        <f>J$86*(J$95-J$66)+J$85*(J$66-J$20-J$18)</f>
        <v>-173.70237500000076</v>
      </c>
      <c r="K124" s="41">
        <f>K$86*(K$95-K$66)+K$85*(K$66-K$20-K$18)</f>
        <v>-173.70237500000076</v>
      </c>
      <c r="L124" s="41">
        <f>L$86*(L$95-L$66)+L$85*(L$66-L$20-L$18)</f>
        <v>-173.70237500000076</v>
      </c>
      <c r="M124" s="41">
        <f>M$86*(M$95-M$66)+M$85*(M$66-M$20-M$18)</f>
        <v>-147.12712499999941</v>
      </c>
    </row>
    <row r="125" spans="1:13" ht="12.95" hidden="1" customHeight="1" x14ac:dyDescent="0.2">
      <c r="A125" s="43">
        <f t="shared" si="49"/>
        <v>4000</v>
      </c>
      <c r="C125" s="41">
        <f>C$86*(C$95-C$66)+C$85*(C$66-C$65)+C$84*(C$65-C$20-C$18)</f>
        <v>3375</v>
      </c>
      <c r="D125" s="41">
        <f>D$86*(D$95-D$66)+D$85*(D$66-D$65)+D$84*(D$65-D$20-D$18)</f>
        <v>3650</v>
      </c>
      <c r="E125" s="41">
        <f>E$86*(E$95-E$66)+E$85*(E$66-E$65)+E$84*(E$65-E$20-E$18)</f>
        <v>4462.5</v>
      </c>
      <c r="F125" s="41">
        <f>F$86*(F$95-F$66)+F$85*(F$66-F$65)+F$84*(F$65-F$20-F$18)</f>
        <v>5275</v>
      </c>
      <c r="G125" s="41">
        <f>G$86*(G$95-G$66)+G$85*(G$66-G$65)+G$84*(G$65-G$20-G$18)</f>
        <v>6087.5</v>
      </c>
      <c r="H125" s="42"/>
      <c r="I125" s="41">
        <f>I$86*(I$95-I$66)+I$85*(I$66-I$65)+I$84*(I$65-I$20-I$18)</f>
        <v>2488.0100000000011</v>
      </c>
      <c r="J125" s="41">
        <f>J$86*(J$95-J$66)+J$85*(J$66-J$65)+J$84*(J$65-J$20-J$18)</f>
        <v>1963.7976249999992</v>
      </c>
      <c r="K125" s="41">
        <f>K$86*(K$95-K$66)+K$85*(K$66-K$65)+K$84*(K$65-K$20-K$18)</f>
        <v>1963.7976249999992</v>
      </c>
      <c r="L125" s="41">
        <f>L$86*(L$95-L$66)+L$85*(L$66-L$65)+L$84*(L$65-L$20-L$18)</f>
        <v>1963.7976249999992</v>
      </c>
      <c r="M125" s="41">
        <f>M$86*(M$95-M$66)+M$85*(M$66-M$65)+M$84*(M$65-M$20-M$18)</f>
        <v>1990.3728750000005</v>
      </c>
    </row>
    <row r="126" spans="1:13" ht="12.95" hidden="1" customHeight="1" x14ac:dyDescent="0.2">
      <c r="A126" s="43">
        <f t="shared" si="49"/>
        <v>2020</v>
      </c>
      <c r="C126" s="41">
        <f>C$85*(C$95-C$20-C$18)</f>
        <v>0</v>
      </c>
      <c r="D126" s="41">
        <f>D$85*(D$95-D$20-D$18)</f>
        <v>0</v>
      </c>
      <c r="E126" s="41">
        <f>E$85*(E$95-E$20-E$18)</f>
        <v>0</v>
      </c>
      <c r="F126" s="41">
        <f>F$85*(F$95-F$20-F$18)</f>
        <v>0</v>
      </c>
      <c r="G126" s="41">
        <f>G$85*(G$95-G$20-G$18)</f>
        <v>0</v>
      </c>
      <c r="H126" s="42"/>
      <c r="I126" s="41">
        <f>I$85*(I$95-I$20-I$18)</f>
        <v>245.3100000000002</v>
      </c>
      <c r="J126" s="41">
        <f>J$85*(J$95-J$20-J$18)</f>
        <v>248.37637499999983</v>
      </c>
      <c r="K126" s="41">
        <f>K$85*(K$95-K$20-K$18)</f>
        <v>248.37637499999983</v>
      </c>
      <c r="L126" s="41">
        <f>L$85*(L$95-L$20-L$18)</f>
        <v>248.37637499999983</v>
      </c>
      <c r="M126" s="41">
        <f>M$85*(M$95-M$20-M$18)</f>
        <v>254.50912500000013</v>
      </c>
    </row>
    <row r="127" spans="1:13" ht="12.95" hidden="1" customHeight="1" x14ac:dyDescent="0.2">
      <c r="A127" s="43">
        <f t="shared" si="49"/>
        <v>2000</v>
      </c>
      <c r="C127" s="41">
        <f>C$85*(C$95-C$65)+C$84*(C$65-C$20-C$18)</f>
        <v>2625</v>
      </c>
      <c r="D127" s="41">
        <f>D$85*(D$95-D$65)+D$84*(D$65-D$20-D$18)</f>
        <v>2775</v>
      </c>
      <c r="E127" s="41">
        <f>E$85*(E$95-E$65)+E$84*(E$65-E$20-E$18)</f>
        <v>2962.5</v>
      </c>
      <c r="F127" s="41">
        <f>F$85*(F$95-F$65)+F$84*(F$65-F$20-F$18)</f>
        <v>3150</v>
      </c>
      <c r="G127" s="41">
        <f>G$85*(G$95-G$65)+G$84*(G$65-G$20-G$18)</f>
        <v>3337.5</v>
      </c>
      <c r="H127" s="42"/>
      <c r="I127" s="41">
        <f>I$85*(I$95-I$65)+I$84*(I$65-I$20-I$18)</f>
        <v>2420.31</v>
      </c>
      <c r="J127" s="41">
        <f>J$85*(J$95-J$65)+J$84*(J$65-J$20-J$18)</f>
        <v>2385.8763749999998</v>
      </c>
      <c r="K127" s="41">
        <f>K$85*(K$95-K$65)+K$84*(K$65-K$20-K$18)</f>
        <v>2385.8763749999998</v>
      </c>
      <c r="L127" s="41">
        <f>L$85*(L$95-L$65)+L$84*(L$65-L$20-L$18)</f>
        <v>2385.8763749999998</v>
      </c>
      <c r="M127" s="41">
        <f>M$85*(M$95-M$65)+M$84*(M$65-M$20-M$18)</f>
        <v>2392.009125</v>
      </c>
    </row>
    <row r="128" spans="1:13" ht="12.95" hidden="1" customHeight="1" x14ac:dyDescent="0.2">
      <c r="A128" s="43">
        <f t="shared" si="49"/>
        <v>0</v>
      </c>
      <c r="B128" s="43"/>
      <c r="C128" s="41"/>
      <c r="D128" s="41"/>
      <c r="E128" s="41"/>
      <c r="F128" s="41"/>
      <c r="G128" s="41"/>
      <c r="H128" s="42"/>
      <c r="I128" s="41"/>
      <c r="J128" s="41"/>
      <c r="K128" s="41"/>
      <c r="L128" s="41"/>
      <c r="M128" s="41"/>
    </row>
    <row r="129" spans="1:13" ht="12.95" hidden="1" customHeight="1" x14ac:dyDescent="0.2">
      <c r="A129" s="43"/>
      <c r="B129" s="43"/>
      <c r="C129" s="43"/>
      <c r="D129" s="43"/>
      <c r="E129" s="43"/>
      <c r="F129" s="43"/>
      <c r="G129" s="43"/>
      <c r="H129" s="45"/>
      <c r="I129" s="43"/>
      <c r="J129" s="43"/>
      <c r="K129" s="43"/>
      <c r="L129" s="43"/>
      <c r="M129" s="43"/>
    </row>
    <row r="130" spans="1:13" ht="12.95" hidden="1" customHeight="1" x14ac:dyDescent="0.2">
      <c r="A130" s="43" t="s">
        <v>38</v>
      </c>
      <c r="B130" s="43"/>
      <c r="C130" s="43"/>
      <c r="D130" s="43"/>
      <c r="E130" s="43"/>
      <c r="F130" s="43"/>
      <c r="G130" s="43"/>
      <c r="H130" s="45"/>
      <c r="I130" s="43"/>
      <c r="J130" s="43"/>
      <c r="K130" s="43"/>
      <c r="L130" s="43"/>
      <c r="M130" s="43"/>
    </row>
    <row r="131" spans="1:13" ht="12.95" hidden="1" customHeight="1" x14ac:dyDescent="0.2">
      <c r="A131" s="43">
        <f>A119</f>
        <v>4545</v>
      </c>
      <c r="B131" s="43"/>
      <c r="C131" s="41">
        <f>C119*C107</f>
        <v>0</v>
      </c>
      <c r="D131" s="41">
        <f t="shared" ref="D131:G131" si="50">D119*D107</f>
        <v>0</v>
      </c>
      <c r="E131" s="41">
        <f t="shared" si="50"/>
        <v>0</v>
      </c>
      <c r="F131" s="41">
        <f t="shared" si="50"/>
        <v>0</v>
      </c>
      <c r="G131" s="41">
        <f t="shared" si="50"/>
        <v>0</v>
      </c>
      <c r="H131" s="42"/>
      <c r="I131" s="41">
        <f t="shared" ref="I131:M139" si="51">I119*I107</f>
        <v>0</v>
      </c>
      <c r="J131" s="41">
        <f t="shared" si="51"/>
        <v>0</v>
      </c>
      <c r="K131" s="41">
        <f t="shared" si="51"/>
        <v>0</v>
      </c>
      <c r="L131" s="41">
        <f t="shared" si="51"/>
        <v>0</v>
      </c>
      <c r="M131" s="41">
        <f t="shared" si="51"/>
        <v>0</v>
      </c>
    </row>
    <row r="132" spans="1:13" ht="12.95" hidden="1" customHeight="1" x14ac:dyDescent="0.2">
      <c r="A132" s="43">
        <f t="shared" ref="A132:A140" si="52">A120</f>
        <v>4540</v>
      </c>
      <c r="B132" s="43"/>
      <c r="C132" s="41">
        <f t="shared" ref="C132:G139" si="53">C120*C108</f>
        <v>0</v>
      </c>
      <c r="D132" s="41">
        <f t="shared" si="53"/>
        <v>0</v>
      </c>
      <c r="E132" s="41">
        <f t="shared" si="53"/>
        <v>0</v>
      </c>
      <c r="F132" s="41">
        <f t="shared" si="53"/>
        <v>0</v>
      </c>
      <c r="G132" s="41">
        <f t="shared" si="53"/>
        <v>0</v>
      </c>
      <c r="H132" s="42"/>
      <c r="I132" s="41">
        <f t="shared" si="51"/>
        <v>0</v>
      </c>
      <c r="J132" s="41">
        <f t="shared" si="51"/>
        <v>0</v>
      </c>
      <c r="K132" s="41">
        <f t="shared" si="51"/>
        <v>0</v>
      </c>
      <c r="L132" s="41">
        <f t="shared" si="51"/>
        <v>0</v>
      </c>
      <c r="M132" s="41">
        <f t="shared" si="51"/>
        <v>0</v>
      </c>
    </row>
    <row r="133" spans="1:13" ht="12.95" hidden="1" customHeight="1" x14ac:dyDescent="0.2">
      <c r="A133" s="43">
        <f t="shared" si="52"/>
        <v>4520</v>
      </c>
      <c r="B133" s="43"/>
      <c r="C133" s="41">
        <f t="shared" si="53"/>
        <v>0</v>
      </c>
      <c r="D133" s="41">
        <f t="shared" si="53"/>
        <v>0</v>
      </c>
      <c r="E133" s="41">
        <f t="shared" si="53"/>
        <v>0</v>
      </c>
      <c r="F133" s="41">
        <f t="shared" si="53"/>
        <v>0</v>
      </c>
      <c r="G133" s="41">
        <f t="shared" si="53"/>
        <v>0</v>
      </c>
      <c r="H133" s="42"/>
      <c r="I133" s="41">
        <f t="shared" si="51"/>
        <v>0</v>
      </c>
      <c r="J133" s="41">
        <f t="shared" si="51"/>
        <v>0</v>
      </c>
      <c r="K133" s="41">
        <f t="shared" si="51"/>
        <v>0</v>
      </c>
      <c r="L133" s="41">
        <f t="shared" si="51"/>
        <v>0</v>
      </c>
      <c r="M133" s="41">
        <f t="shared" si="51"/>
        <v>0</v>
      </c>
    </row>
    <row r="134" spans="1:13" ht="12.95" hidden="1" customHeight="1" x14ac:dyDescent="0.2">
      <c r="A134" s="43">
        <f t="shared" si="52"/>
        <v>4500</v>
      </c>
      <c r="B134" s="43"/>
      <c r="C134" s="41">
        <f t="shared" si="53"/>
        <v>0</v>
      </c>
      <c r="D134" s="41">
        <f t="shared" si="53"/>
        <v>0</v>
      </c>
      <c r="E134" s="41">
        <f t="shared" si="53"/>
        <v>0</v>
      </c>
      <c r="F134" s="41">
        <f t="shared" si="53"/>
        <v>0</v>
      </c>
      <c r="G134" s="41">
        <f t="shared" si="53"/>
        <v>0</v>
      </c>
      <c r="H134" s="42"/>
      <c r="I134" s="41">
        <f t="shared" si="51"/>
        <v>0</v>
      </c>
      <c r="J134" s="41">
        <f t="shared" si="51"/>
        <v>0</v>
      </c>
      <c r="K134" s="41">
        <f t="shared" si="51"/>
        <v>0</v>
      </c>
      <c r="L134" s="41">
        <f t="shared" si="51"/>
        <v>0</v>
      </c>
      <c r="M134" s="41">
        <f t="shared" si="51"/>
        <v>0</v>
      </c>
    </row>
    <row r="135" spans="1:13" ht="12.95" hidden="1" customHeight="1" x14ac:dyDescent="0.2">
      <c r="A135" s="43">
        <f t="shared" si="52"/>
        <v>4040</v>
      </c>
      <c r="B135" s="43"/>
      <c r="C135" s="41">
        <f t="shared" si="53"/>
        <v>0</v>
      </c>
      <c r="D135" s="41">
        <f t="shared" si="53"/>
        <v>0</v>
      </c>
      <c r="E135" s="41">
        <f t="shared" si="53"/>
        <v>0</v>
      </c>
      <c r="F135" s="41">
        <f t="shared" si="53"/>
        <v>0</v>
      </c>
      <c r="G135" s="41">
        <f t="shared" si="53"/>
        <v>0</v>
      </c>
      <c r="H135" s="42"/>
      <c r="I135" s="41">
        <f t="shared" si="51"/>
        <v>0</v>
      </c>
      <c r="J135" s="41">
        <f t="shared" si="51"/>
        <v>0</v>
      </c>
      <c r="K135" s="41">
        <f t="shared" si="51"/>
        <v>0</v>
      </c>
      <c r="L135" s="41">
        <f t="shared" si="51"/>
        <v>0</v>
      </c>
      <c r="M135" s="41">
        <f t="shared" si="51"/>
        <v>0</v>
      </c>
    </row>
    <row r="136" spans="1:13" ht="12.95" hidden="1" customHeight="1" x14ac:dyDescent="0.2">
      <c r="A136" s="43">
        <f t="shared" si="52"/>
        <v>4020</v>
      </c>
      <c r="B136" s="43"/>
      <c r="C136" s="41">
        <f t="shared" si="53"/>
        <v>0</v>
      </c>
      <c r="D136" s="41">
        <f t="shared" si="53"/>
        <v>0</v>
      </c>
      <c r="E136" s="41">
        <f t="shared" si="53"/>
        <v>0</v>
      </c>
      <c r="F136" s="41">
        <f t="shared" si="53"/>
        <v>0</v>
      </c>
      <c r="G136" s="41">
        <f t="shared" si="53"/>
        <v>0</v>
      </c>
      <c r="H136" s="42"/>
      <c r="I136" s="41">
        <f t="shared" si="51"/>
        <v>313.01000000000096</v>
      </c>
      <c r="J136" s="41">
        <f t="shared" si="51"/>
        <v>0</v>
      </c>
      <c r="K136" s="41">
        <f t="shared" si="51"/>
        <v>0</v>
      </c>
      <c r="L136" s="41">
        <f t="shared" si="51"/>
        <v>0</v>
      </c>
      <c r="M136" s="41">
        <f t="shared" si="51"/>
        <v>0</v>
      </c>
    </row>
    <row r="137" spans="1:13" ht="12.95" hidden="1" customHeight="1" x14ac:dyDescent="0.2">
      <c r="A137" s="43">
        <f t="shared" si="52"/>
        <v>4000</v>
      </c>
      <c r="B137" s="43"/>
      <c r="C137" s="41">
        <f t="shared" si="53"/>
        <v>0</v>
      </c>
      <c r="D137" s="41">
        <f t="shared" si="53"/>
        <v>0</v>
      </c>
      <c r="E137" s="41">
        <f t="shared" si="53"/>
        <v>0</v>
      </c>
      <c r="F137" s="41">
        <f t="shared" si="53"/>
        <v>0</v>
      </c>
      <c r="G137" s="41">
        <f t="shared" si="53"/>
        <v>0</v>
      </c>
      <c r="H137" s="42"/>
      <c r="I137" s="41">
        <f t="shared" si="51"/>
        <v>0</v>
      </c>
      <c r="J137" s="41">
        <f t="shared" si="51"/>
        <v>0</v>
      </c>
      <c r="K137" s="41">
        <f t="shared" si="51"/>
        <v>0</v>
      </c>
      <c r="L137" s="41">
        <f t="shared" si="51"/>
        <v>0</v>
      </c>
      <c r="M137" s="41">
        <f t="shared" si="51"/>
        <v>0</v>
      </c>
    </row>
    <row r="138" spans="1:13" ht="12.95" hidden="1" customHeight="1" x14ac:dyDescent="0.2">
      <c r="A138" s="43">
        <f t="shared" si="52"/>
        <v>2020</v>
      </c>
      <c r="B138" s="43"/>
      <c r="C138" s="41">
        <f t="shared" si="53"/>
        <v>0</v>
      </c>
      <c r="D138" s="41">
        <f t="shared" si="53"/>
        <v>0</v>
      </c>
      <c r="E138" s="41">
        <f t="shared" si="53"/>
        <v>0</v>
      </c>
      <c r="F138" s="41">
        <f t="shared" si="53"/>
        <v>0</v>
      </c>
      <c r="G138" s="41">
        <f t="shared" si="53"/>
        <v>0</v>
      </c>
      <c r="H138" s="42"/>
      <c r="I138" s="41">
        <f t="shared" si="51"/>
        <v>0</v>
      </c>
      <c r="J138" s="41">
        <f t="shared" si="51"/>
        <v>248.37637499999983</v>
      </c>
      <c r="K138" s="41">
        <f t="shared" si="51"/>
        <v>248.37637499999983</v>
      </c>
      <c r="L138" s="41">
        <f t="shared" si="51"/>
        <v>248.37637499999983</v>
      </c>
      <c r="M138" s="41">
        <f t="shared" si="51"/>
        <v>254.50912500000013</v>
      </c>
    </row>
    <row r="139" spans="1:13" ht="12.95" hidden="1" customHeight="1" x14ac:dyDescent="0.2">
      <c r="A139" s="43">
        <f t="shared" si="52"/>
        <v>2000</v>
      </c>
      <c r="B139" s="43"/>
      <c r="C139" s="41">
        <f t="shared" si="53"/>
        <v>0</v>
      </c>
      <c r="D139" s="41">
        <f t="shared" si="53"/>
        <v>0</v>
      </c>
      <c r="E139" s="41">
        <f t="shared" si="53"/>
        <v>0</v>
      </c>
      <c r="F139" s="41">
        <f t="shared" si="53"/>
        <v>0</v>
      </c>
      <c r="G139" s="41">
        <f t="shared" si="53"/>
        <v>0</v>
      </c>
      <c r="H139" s="42"/>
      <c r="I139" s="41">
        <f t="shared" si="51"/>
        <v>0</v>
      </c>
      <c r="J139" s="41">
        <f t="shared" si="51"/>
        <v>0</v>
      </c>
      <c r="K139" s="41">
        <f t="shared" si="51"/>
        <v>0</v>
      </c>
      <c r="L139" s="41">
        <f t="shared" si="51"/>
        <v>0</v>
      </c>
      <c r="M139" s="41">
        <f t="shared" si="51"/>
        <v>0</v>
      </c>
    </row>
    <row r="140" spans="1:13" ht="12.95" hidden="1" customHeight="1" x14ac:dyDescent="0.2">
      <c r="A140" s="43">
        <f t="shared" si="52"/>
        <v>0</v>
      </c>
      <c r="B140" s="43"/>
      <c r="C140" s="41">
        <f t="shared" ref="C140" si="54">C129*C116</f>
        <v>0</v>
      </c>
      <c r="D140" s="41"/>
      <c r="E140" s="41"/>
      <c r="F140" s="41"/>
      <c r="G140" s="41"/>
      <c r="H140" s="42"/>
      <c r="I140" s="41"/>
      <c r="J140" s="41"/>
      <c r="K140" s="41"/>
      <c r="L140" s="41"/>
      <c r="M140" s="41"/>
    </row>
    <row r="141" spans="1:13" ht="12.95" hidden="1" customHeight="1" x14ac:dyDescent="0.2">
      <c r="A141" s="43"/>
      <c r="B141" s="43"/>
      <c r="C141" s="41">
        <f>SUM(C131:C140)</f>
        <v>0</v>
      </c>
      <c r="D141" s="41">
        <f t="shared" ref="D141:G141" si="55">SUM(D131:D140)</f>
        <v>0</v>
      </c>
      <c r="E141" s="41">
        <f t="shared" si="55"/>
        <v>0</v>
      </c>
      <c r="F141" s="41">
        <f t="shared" si="55"/>
        <v>0</v>
      </c>
      <c r="G141" s="41">
        <f t="shared" si="55"/>
        <v>0</v>
      </c>
      <c r="H141" s="42"/>
      <c r="I141" s="41">
        <f t="shared" ref="I141:M141" si="56">SUM(I131:I140)</f>
        <v>313.01000000000096</v>
      </c>
      <c r="J141" s="41">
        <f t="shared" si="56"/>
        <v>248.37637499999983</v>
      </c>
      <c r="K141" s="41">
        <f t="shared" si="56"/>
        <v>248.37637499999983</v>
      </c>
      <c r="L141" s="41">
        <f t="shared" si="56"/>
        <v>248.37637499999983</v>
      </c>
      <c r="M141" s="41">
        <f t="shared" si="56"/>
        <v>254.50912500000013</v>
      </c>
    </row>
    <row r="142" spans="1:13" ht="12.95" hidden="1" customHeight="1" x14ac:dyDescent="0.2">
      <c r="A142" s="43" t="s">
        <v>212</v>
      </c>
      <c r="B142" s="43"/>
      <c r="C142" s="41">
        <f>C141-C194</f>
        <v>0</v>
      </c>
      <c r="D142" s="41">
        <f>D141-D194</f>
        <v>0</v>
      </c>
      <c r="E142" s="41">
        <f>E141-E194</f>
        <v>0</v>
      </c>
      <c r="F142" s="41">
        <f>F141-F194</f>
        <v>0</v>
      </c>
      <c r="G142" s="41">
        <f>G141-G194</f>
        <v>0</v>
      </c>
      <c r="H142" s="41"/>
      <c r="I142" s="41">
        <f>I141-I194</f>
        <v>0</v>
      </c>
      <c r="J142" s="41">
        <f>J141-J194</f>
        <v>0</v>
      </c>
      <c r="K142" s="41">
        <f>K141-K194</f>
        <v>98.376374999999825</v>
      </c>
      <c r="L142" s="41">
        <f>L141-L194</f>
        <v>98.376374999999825</v>
      </c>
      <c r="M142" s="41">
        <f>M141-M194</f>
        <v>104.50912500000013</v>
      </c>
    </row>
    <row r="143" spans="1:13" ht="12.95" hidden="1" customHeight="1" x14ac:dyDescent="0.2">
      <c r="A143" s="43" t="s">
        <v>6</v>
      </c>
      <c r="B143" s="43"/>
      <c r="C143" s="41">
        <f>Legislation!B32</f>
        <v>5000</v>
      </c>
      <c r="D143" s="41">
        <f>Legislation!C32</f>
        <v>5000</v>
      </c>
      <c r="E143" s="41">
        <f>Legislation!D32</f>
        <v>2000</v>
      </c>
      <c r="F143" s="41">
        <f>Legislation!E32</f>
        <v>2000</v>
      </c>
      <c r="G143" s="41">
        <f>Legislation!F32</f>
        <v>2000</v>
      </c>
      <c r="H143" s="41"/>
      <c r="I143" s="41">
        <f>C143</f>
        <v>5000</v>
      </c>
      <c r="J143" s="41">
        <f t="shared" ref="J143:M143" si="57">D143</f>
        <v>5000</v>
      </c>
      <c r="K143" s="41">
        <f t="shared" si="57"/>
        <v>2000</v>
      </c>
      <c r="L143" s="41">
        <f t="shared" si="57"/>
        <v>2000</v>
      </c>
      <c r="M143" s="41">
        <f t="shared" si="57"/>
        <v>2000</v>
      </c>
    </row>
    <row r="144" spans="1:13" ht="12.95" hidden="1" customHeight="1" x14ac:dyDescent="0.2">
      <c r="A144" s="43" t="s">
        <v>213</v>
      </c>
      <c r="B144" s="43"/>
      <c r="C144" s="41">
        <f>C19+C22</f>
        <v>0</v>
      </c>
      <c r="D144" s="41">
        <f>D19+D22</f>
        <v>0</v>
      </c>
      <c r="E144" s="41">
        <f>E19+E22</f>
        <v>0</v>
      </c>
      <c r="F144" s="41">
        <f>F19+F22</f>
        <v>0</v>
      </c>
      <c r="G144" s="41">
        <f>G19+G22</f>
        <v>0</v>
      </c>
      <c r="H144" s="41"/>
      <c r="I144" s="41">
        <f>I19+I22</f>
        <v>3270.7999999999997</v>
      </c>
      <c r="J144" s="41">
        <f>J19+J22</f>
        <v>3311.6849999999999</v>
      </c>
      <c r="K144" s="41">
        <f>K19+K22</f>
        <v>3311.6849999999999</v>
      </c>
      <c r="L144" s="41">
        <f>L19+L22</f>
        <v>3311.6849999999999</v>
      </c>
      <c r="M144" s="41">
        <f>M19+M22</f>
        <v>3393.4549999999999</v>
      </c>
    </row>
    <row r="145" spans="1:29" ht="12.95" hidden="1" customHeight="1" x14ac:dyDescent="0.2">
      <c r="A145" s="43"/>
      <c r="B145" s="43"/>
      <c r="C145" s="41"/>
      <c r="D145" s="41"/>
      <c r="E145" s="41"/>
      <c r="F145" s="41"/>
      <c r="G145" s="41"/>
      <c r="H145" s="41"/>
      <c r="I145" s="41"/>
      <c r="J145" s="41"/>
      <c r="K145" s="41"/>
      <c r="L145" s="41"/>
      <c r="M145" s="41"/>
    </row>
    <row r="146" spans="1:29" ht="12.95" hidden="1" customHeight="1" x14ac:dyDescent="0.2">
      <c r="A146" s="40" t="s">
        <v>124</v>
      </c>
      <c r="B146" s="43"/>
      <c r="C146" s="41"/>
      <c r="D146" s="41"/>
      <c r="E146" s="41"/>
      <c r="F146" s="41"/>
      <c r="G146" s="41"/>
      <c r="H146" s="45"/>
      <c r="I146" s="43"/>
      <c r="J146" s="43"/>
      <c r="K146" s="43"/>
      <c r="L146" s="43"/>
      <c r="M146" s="43"/>
    </row>
    <row r="147" spans="1:29" ht="12.95" hidden="1" customHeight="1" x14ac:dyDescent="0.2">
      <c r="A147" s="43" t="s">
        <v>117</v>
      </c>
      <c r="B147" s="43"/>
      <c r="C147" s="41">
        <f>C18+C20</f>
        <v>46000</v>
      </c>
      <c r="D147" s="41">
        <f>D18+D20</f>
        <v>48500</v>
      </c>
      <c r="E147" s="41">
        <f>E18+E20</f>
        <v>51000</v>
      </c>
      <c r="F147" s="41">
        <f>F18+F20</f>
        <v>53500</v>
      </c>
      <c r="G147" s="41">
        <f>G18+G20</f>
        <v>56000</v>
      </c>
      <c r="H147" s="41"/>
      <c r="I147" s="41">
        <f>I18+I20</f>
        <v>40000</v>
      </c>
      <c r="J147" s="41">
        <f>J18+J20</f>
        <v>40000</v>
      </c>
      <c r="K147" s="41">
        <f>K18+K20</f>
        <v>40000</v>
      </c>
      <c r="L147" s="41">
        <f>L18+L20</f>
        <v>40000</v>
      </c>
      <c r="M147" s="41">
        <f>M18+M20</f>
        <v>40000</v>
      </c>
      <c r="N147" s="5"/>
      <c r="O147" s="5"/>
      <c r="P147" s="5"/>
    </row>
    <row r="148" spans="1:29" ht="12.95" hidden="1" customHeight="1" x14ac:dyDescent="0.2">
      <c r="A148" s="43" t="s">
        <v>118</v>
      </c>
      <c r="B148" s="43"/>
      <c r="C148" s="41">
        <f>C19+C22</f>
        <v>0</v>
      </c>
      <c r="D148" s="41">
        <f>D19+D22</f>
        <v>0</v>
      </c>
      <c r="E148" s="41">
        <f>E19+E22</f>
        <v>0</v>
      </c>
      <c r="F148" s="41">
        <f>F19+F22</f>
        <v>0</v>
      </c>
      <c r="G148" s="41">
        <f>G19+G22</f>
        <v>0</v>
      </c>
      <c r="H148" s="41"/>
      <c r="I148" s="41">
        <f>I19+I22</f>
        <v>3270.7999999999997</v>
      </c>
      <c r="J148" s="41">
        <f>J19+J22</f>
        <v>3311.6849999999999</v>
      </c>
      <c r="K148" s="41">
        <f>K19+K22</f>
        <v>3311.6849999999999</v>
      </c>
      <c r="L148" s="41">
        <f>L19+L22</f>
        <v>3311.6849999999999</v>
      </c>
      <c r="M148" s="41">
        <f>M19+M22</f>
        <v>3393.4549999999999</v>
      </c>
      <c r="N148" s="5"/>
      <c r="O148" s="5"/>
      <c r="P148" s="5"/>
    </row>
    <row r="149" spans="1:29" ht="12.95" hidden="1" customHeight="1" x14ac:dyDescent="0.2">
      <c r="A149" s="43" t="s">
        <v>119</v>
      </c>
      <c r="B149" s="43"/>
      <c r="C149" s="41">
        <f>+IF(C148&gt;C88,C88,C148)</f>
        <v>0</v>
      </c>
      <c r="D149" s="41">
        <f>+IF(D148&gt;D88,D88,D148)</f>
        <v>0</v>
      </c>
      <c r="E149" s="41">
        <f>+IF(E148&gt;E88,E88,E148)</f>
        <v>0</v>
      </c>
      <c r="F149" s="41">
        <f>+IF(F148&gt;F88,F88,F148)</f>
        <v>0</v>
      </c>
      <c r="G149" s="41">
        <f>+IF(G148&gt;G88,G88,G148)</f>
        <v>0</v>
      </c>
      <c r="H149" s="41"/>
      <c r="I149" s="41">
        <f>+IF(I148&gt;I88,I88,I148)</f>
        <v>3270.7999999999997</v>
      </c>
      <c r="J149" s="41">
        <f>+IF(J148&gt;J88,J88,J148)</f>
        <v>3311.6849999999999</v>
      </c>
      <c r="K149" s="41">
        <f>+IF(K148&gt;K88,K88,K148)</f>
        <v>2000</v>
      </c>
      <c r="L149" s="41">
        <f>+IF(L148&gt;L88,L88,L148)</f>
        <v>2000</v>
      </c>
      <c r="M149" s="41">
        <f>+IF(M148&gt;M88,M88,M148)</f>
        <v>2000</v>
      </c>
    </row>
    <row r="150" spans="1:29" ht="12.95" hidden="1" customHeight="1" x14ac:dyDescent="0.2">
      <c r="A150" s="43" t="s">
        <v>36</v>
      </c>
      <c r="B150" s="43"/>
      <c r="C150" s="41">
        <v>1</v>
      </c>
      <c r="D150" s="43">
        <v>1</v>
      </c>
      <c r="E150" s="43">
        <v>1</v>
      </c>
      <c r="F150" s="43">
        <v>1</v>
      </c>
      <c r="G150" s="43">
        <v>1</v>
      </c>
      <c r="H150" s="45"/>
      <c r="I150" s="43">
        <v>1</v>
      </c>
      <c r="J150" s="43">
        <v>1</v>
      </c>
      <c r="K150" s="43">
        <v>1</v>
      </c>
      <c r="L150" s="43">
        <v>1</v>
      </c>
      <c r="M150" s="43">
        <v>1</v>
      </c>
    </row>
    <row r="151" spans="1:29" ht="12.95" hidden="1" customHeight="1" x14ac:dyDescent="0.2">
      <c r="A151" s="43">
        <v>20</v>
      </c>
      <c r="B151" s="43"/>
      <c r="C151" s="41">
        <f t="shared" ref="C151:G153" si="58">+IF(C$147&gt;C65,1,0)</f>
        <v>1</v>
      </c>
      <c r="D151" s="41">
        <f t="shared" si="58"/>
        <v>1</v>
      </c>
      <c r="E151" s="41">
        <f t="shared" si="58"/>
        <v>1</v>
      </c>
      <c r="F151" s="41">
        <f t="shared" si="58"/>
        <v>1</v>
      </c>
      <c r="G151" s="41">
        <f t="shared" si="58"/>
        <v>1</v>
      </c>
      <c r="H151" s="41"/>
      <c r="I151" s="41">
        <f t="shared" ref="I151:M153" si="59">+IF(I$147&gt;I65,1,0)</f>
        <v>1</v>
      </c>
      <c r="J151" s="41">
        <f t="shared" si="59"/>
        <v>1</v>
      </c>
      <c r="K151" s="41">
        <f t="shared" si="59"/>
        <v>1</v>
      </c>
      <c r="L151" s="41">
        <f t="shared" si="59"/>
        <v>1</v>
      </c>
      <c r="M151" s="41">
        <f t="shared" si="59"/>
        <v>1</v>
      </c>
      <c r="N151" s="5"/>
    </row>
    <row r="152" spans="1:29" ht="12.95" hidden="1" customHeight="1" x14ac:dyDescent="0.2">
      <c r="A152" s="43">
        <v>40</v>
      </c>
      <c r="B152" s="43"/>
      <c r="C152" s="41">
        <f t="shared" si="58"/>
        <v>1</v>
      </c>
      <c r="D152" s="41">
        <f t="shared" si="58"/>
        <v>1</v>
      </c>
      <c r="E152" s="41">
        <f t="shared" si="58"/>
        <v>1</v>
      </c>
      <c r="F152" s="41">
        <f t="shared" si="58"/>
        <v>1</v>
      </c>
      <c r="G152" s="41">
        <f t="shared" si="58"/>
        <v>1</v>
      </c>
      <c r="H152" s="41"/>
      <c r="I152" s="41">
        <f t="shared" si="59"/>
        <v>0</v>
      </c>
      <c r="J152" s="41">
        <f t="shared" si="59"/>
        <v>0</v>
      </c>
      <c r="K152" s="41">
        <f t="shared" si="59"/>
        <v>0</v>
      </c>
      <c r="L152" s="41">
        <f t="shared" si="59"/>
        <v>0</v>
      </c>
      <c r="M152" s="41">
        <f t="shared" si="59"/>
        <v>0</v>
      </c>
      <c r="N152" s="5"/>
    </row>
    <row r="153" spans="1:29" ht="12.95" hidden="1" customHeight="1" x14ac:dyDescent="0.2">
      <c r="A153" s="43">
        <v>45</v>
      </c>
      <c r="B153" s="43"/>
      <c r="C153" s="41">
        <f t="shared" si="58"/>
        <v>0</v>
      </c>
      <c r="D153" s="41">
        <f t="shared" si="58"/>
        <v>0</v>
      </c>
      <c r="E153" s="41">
        <f t="shared" si="58"/>
        <v>0</v>
      </c>
      <c r="F153" s="41">
        <f t="shared" si="58"/>
        <v>0</v>
      </c>
      <c r="G153" s="41">
        <f t="shared" si="58"/>
        <v>0</v>
      </c>
      <c r="H153" s="41"/>
      <c r="I153" s="41">
        <f t="shared" si="59"/>
        <v>0</v>
      </c>
      <c r="J153" s="41">
        <f t="shared" si="59"/>
        <v>0</v>
      </c>
      <c r="K153" s="41">
        <f t="shared" si="59"/>
        <v>0</v>
      </c>
      <c r="L153" s="41">
        <f t="shared" si="59"/>
        <v>0</v>
      </c>
      <c r="M153" s="41">
        <f t="shared" si="59"/>
        <v>0</v>
      </c>
      <c r="N153" s="5"/>
    </row>
    <row r="154" spans="1:29" ht="12.95" hidden="1" customHeight="1" x14ac:dyDescent="0.2">
      <c r="A154" s="43"/>
      <c r="B154" s="43"/>
      <c r="C154" s="43"/>
      <c r="D154" s="43"/>
      <c r="E154" s="43"/>
      <c r="F154" s="43"/>
      <c r="G154" s="43"/>
      <c r="H154" s="45"/>
      <c r="I154" s="43"/>
      <c r="J154" s="43"/>
      <c r="K154" s="43"/>
      <c r="L154" s="43"/>
      <c r="M154" s="43"/>
    </row>
    <row r="155" spans="1:29" ht="12.95" hidden="1" customHeight="1" x14ac:dyDescent="0.2">
      <c r="A155" s="43" t="s">
        <v>35</v>
      </c>
      <c r="B155" s="43"/>
      <c r="C155" s="43">
        <v>1</v>
      </c>
      <c r="D155" s="43">
        <v>1</v>
      </c>
      <c r="E155" s="43">
        <v>1</v>
      </c>
      <c r="F155" s="43">
        <v>1</v>
      </c>
      <c r="G155" s="43">
        <v>1</v>
      </c>
      <c r="H155" s="45"/>
      <c r="I155" s="43">
        <v>1</v>
      </c>
      <c r="J155" s="43">
        <v>1</v>
      </c>
      <c r="K155" s="43">
        <v>1</v>
      </c>
      <c r="L155" s="43">
        <v>1</v>
      </c>
      <c r="M155" s="43">
        <v>1</v>
      </c>
    </row>
    <row r="156" spans="1:29" ht="12.95" hidden="1" customHeight="1" x14ac:dyDescent="0.2">
      <c r="A156" s="43">
        <v>20</v>
      </c>
      <c r="B156" s="43"/>
      <c r="C156" s="43">
        <f t="shared" ref="C156:G158" si="60">+IF(C$147+C$149&gt;C65,1,0)</f>
        <v>1</v>
      </c>
      <c r="D156" s="43">
        <f t="shared" si="60"/>
        <v>1</v>
      </c>
      <c r="E156" s="43">
        <f t="shared" si="60"/>
        <v>1</v>
      </c>
      <c r="F156" s="43">
        <f t="shared" si="60"/>
        <v>1</v>
      </c>
      <c r="G156" s="43">
        <f t="shared" si="60"/>
        <v>1</v>
      </c>
      <c r="H156" s="43"/>
      <c r="I156" s="43">
        <f t="shared" ref="I156:M158" si="61">+IF(I$147+I$149&gt;I65,1,0)</f>
        <v>1</v>
      </c>
      <c r="J156" s="43">
        <f t="shared" si="61"/>
        <v>1</v>
      </c>
      <c r="K156" s="43">
        <f t="shared" si="61"/>
        <v>1</v>
      </c>
      <c r="L156" s="43">
        <f t="shared" si="61"/>
        <v>1</v>
      </c>
      <c r="M156" s="43">
        <f t="shared" si="61"/>
        <v>1</v>
      </c>
    </row>
    <row r="157" spans="1:29" ht="12.95" hidden="1" customHeight="1" x14ac:dyDescent="0.2">
      <c r="A157" s="43">
        <v>40</v>
      </c>
      <c r="B157" s="43"/>
      <c r="C157" s="43">
        <f t="shared" si="60"/>
        <v>1</v>
      </c>
      <c r="D157" s="43">
        <f t="shared" si="60"/>
        <v>1</v>
      </c>
      <c r="E157" s="43">
        <f t="shared" si="60"/>
        <v>1</v>
      </c>
      <c r="F157" s="43">
        <f t="shared" si="60"/>
        <v>1</v>
      </c>
      <c r="G157" s="43">
        <f t="shared" si="60"/>
        <v>1</v>
      </c>
      <c r="H157" s="43"/>
      <c r="I157" s="43">
        <f t="shared" si="61"/>
        <v>1</v>
      </c>
      <c r="J157" s="43">
        <f t="shared" si="61"/>
        <v>0</v>
      </c>
      <c r="K157" s="43">
        <f t="shared" si="61"/>
        <v>0</v>
      </c>
      <c r="L157" s="43">
        <f t="shared" si="61"/>
        <v>0</v>
      </c>
      <c r="M157" s="43">
        <f t="shared" si="61"/>
        <v>0</v>
      </c>
    </row>
    <row r="158" spans="1:29" ht="12.95" hidden="1" customHeight="1" x14ac:dyDescent="0.2">
      <c r="A158" s="43">
        <v>45</v>
      </c>
      <c r="B158" s="43"/>
      <c r="C158" s="43">
        <f t="shared" si="60"/>
        <v>0</v>
      </c>
      <c r="D158" s="43">
        <f t="shared" si="60"/>
        <v>0</v>
      </c>
      <c r="E158" s="43">
        <f t="shared" si="60"/>
        <v>0</v>
      </c>
      <c r="F158" s="43">
        <f t="shared" si="60"/>
        <v>0</v>
      </c>
      <c r="G158" s="43">
        <f t="shared" si="60"/>
        <v>0</v>
      </c>
      <c r="H158" s="43"/>
      <c r="I158" s="43">
        <f t="shared" si="61"/>
        <v>0</v>
      </c>
      <c r="J158" s="43">
        <f t="shared" si="61"/>
        <v>0</v>
      </c>
      <c r="K158" s="43">
        <f t="shared" si="61"/>
        <v>0</v>
      </c>
      <c r="L158" s="43">
        <f t="shared" si="61"/>
        <v>0</v>
      </c>
      <c r="M158" s="43">
        <f t="shared" si="61"/>
        <v>0</v>
      </c>
    </row>
    <row r="159" spans="1:29" ht="12.95" hidden="1" customHeight="1" x14ac:dyDescent="0.2">
      <c r="A159" s="43"/>
      <c r="B159" s="43"/>
      <c r="C159" s="43"/>
      <c r="D159" s="43"/>
      <c r="E159" s="43"/>
      <c r="F159" s="43"/>
      <c r="G159" s="43"/>
      <c r="H159" s="45"/>
      <c r="I159" s="43"/>
      <c r="J159" s="43"/>
      <c r="K159" s="43"/>
      <c r="L159" s="43"/>
      <c r="M159" s="43"/>
    </row>
    <row r="160" spans="1:29" ht="12.95" hidden="1" customHeight="1" x14ac:dyDescent="0.2">
      <c r="A160" s="43">
        <v>4545</v>
      </c>
      <c r="B160" s="43"/>
      <c r="C160" s="43">
        <f>C158*C153</f>
        <v>0</v>
      </c>
      <c r="D160" s="43">
        <f t="shared" ref="D160:G160" si="62">D158*D153</f>
        <v>0</v>
      </c>
      <c r="E160" s="43">
        <f t="shared" si="62"/>
        <v>0</v>
      </c>
      <c r="F160" s="43">
        <f t="shared" si="62"/>
        <v>0</v>
      </c>
      <c r="G160" s="43">
        <f t="shared" si="62"/>
        <v>0</v>
      </c>
      <c r="H160" s="45"/>
      <c r="I160" s="43">
        <f t="shared" ref="I160:M160" si="63">I158*I153</f>
        <v>0</v>
      </c>
      <c r="J160" s="43">
        <f t="shared" si="63"/>
        <v>0</v>
      </c>
      <c r="K160" s="43">
        <f t="shared" si="63"/>
        <v>0</v>
      </c>
      <c r="L160" s="43">
        <f t="shared" si="63"/>
        <v>0</v>
      </c>
      <c r="M160" s="43">
        <f t="shared" si="63"/>
        <v>0</v>
      </c>
      <c r="O160" s="43">
        <f t="shared" ref="O160:O168" si="64">C107-C160</f>
        <v>0</v>
      </c>
      <c r="P160" s="43">
        <f t="shared" ref="P160:P168" si="65">D107-D160</f>
        <v>0</v>
      </c>
      <c r="Q160" s="43">
        <f t="shared" ref="Q160:Q168" si="66">E107-E160</f>
        <v>0</v>
      </c>
      <c r="R160" s="43">
        <f t="shared" ref="R160:R168" si="67">F107-F160</f>
        <v>0</v>
      </c>
      <c r="S160" s="43">
        <f t="shared" ref="S160:S168" si="68">G107-G160</f>
        <v>0</v>
      </c>
      <c r="T160" s="43">
        <f t="shared" ref="T160:T168" si="69">H107-H160</f>
        <v>0</v>
      </c>
      <c r="U160" s="43">
        <f t="shared" ref="U160:U168" si="70">I107-I160</f>
        <v>0</v>
      </c>
      <c r="V160" s="43">
        <f t="shared" ref="V160:V168" si="71">J107-J160</f>
        <v>0</v>
      </c>
      <c r="W160" s="43">
        <f t="shared" ref="W160:W168" si="72">K107-K160</f>
        <v>0</v>
      </c>
      <c r="X160" s="43">
        <f t="shared" ref="X160:X168" si="73">L107-L160</f>
        <v>0</v>
      </c>
      <c r="Y160" s="43">
        <f t="shared" ref="Y160:Y168" si="74">M107-M160</f>
        <v>0</v>
      </c>
      <c r="Z160" s="43">
        <f t="shared" ref="Z160:Z168" si="75">N107-N160</f>
        <v>0</v>
      </c>
      <c r="AA160" s="43">
        <f t="shared" ref="AA160:AA168" si="76">O107-O160</f>
        <v>0</v>
      </c>
      <c r="AB160" s="43">
        <f t="shared" ref="AB160:AB168" si="77">P107-P160</f>
        <v>0</v>
      </c>
      <c r="AC160" s="43">
        <f t="shared" ref="AC160:AC168" si="78">Q107-Q160</f>
        <v>0</v>
      </c>
    </row>
    <row r="161" spans="1:29" ht="12.95" hidden="1" customHeight="1" x14ac:dyDescent="0.2">
      <c r="A161" s="43">
        <v>4540</v>
      </c>
      <c r="B161" s="43"/>
      <c r="C161" s="43">
        <f>C158*(C152-C153)</f>
        <v>0</v>
      </c>
      <c r="D161" s="43">
        <f t="shared" ref="D161:G161" si="79">D158*(D152-D153)</f>
        <v>0</v>
      </c>
      <c r="E161" s="43">
        <f t="shared" si="79"/>
        <v>0</v>
      </c>
      <c r="F161" s="43">
        <f t="shared" si="79"/>
        <v>0</v>
      </c>
      <c r="G161" s="43">
        <f t="shared" si="79"/>
        <v>0</v>
      </c>
      <c r="H161" s="45"/>
      <c r="I161" s="43">
        <f t="shared" ref="I161:M161" si="80">I158*(I152-I153)</f>
        <v>0</v>
      </c>
      <c r="J161" s="43">
        <f t="shared" si="80"/>
        <v>0</v>
      </c>
      <c r="K161" s="43">
        <f t="shared" si="80"/>
        <v>0</v>
      </c>
      <c r="L161" s="43">
        <f t="shared" si="80"/>
        <v>0</v>
      </c>
      <c r="M161" s="43">
        <f t="shared" si="80"/>
        <v>0</v>
      </c>
      <c r="O161" s="43">
        <f t="shared" si="64"/>
        <v>0</v>
      </c>
      <c r="P161" s="43">
        <f t="shared" si="65"/>
        <v>0</v>
      </c>
      <c r="Q161" s="43">
        <f t="shared" si="66"/>
        <v>0</v>
      </c>
      <c r="R161" s="43">
        <f t="shared" si="67"/>
        <v>0</v>
      </c>
      <c r="S161" s="43">
        <f t="shared" si="68"/>
        <v>0</v>
      </c>
      <c r="T161" s="43">
        <f t="shared" si="69"/>
        <v>0</v>
      </c>
      <c r="U161" s="43">
        <f t="shared" si="70"/>
        <v>0</v>
      </c>
      <c r="V161" s="43">
        <f t="shared" si="71"/>
        <v>0</v>
      </c>
      <c r="W161" s="43">
        <f t="shared" si="72"/>
        <v>0</v>
      </c>
      <c r="X161" s="43">
        <f t="shared" si="73"/>
        <v>0</v>
      </c>
      <c r="Y161" s="43">
        <f t="shared" si="74"/>
        <v>0</v>
      </c>
      <c r="Z161" s="43">
        <f t="shared" si="75"/>
        <v>0</v>
      </c>
      <c r="AA161" s="43">
        <f t="shared" si="76"/>
        <v>0</v>
      </c>
      <c r="AB161" s="43">
        <f t="shared" si="77"/>
        <v>0</v>
      </c>
      <c r="AC161" s="43">
        <f t="shared" si="78"/>
        <v>0</v>
      </c>
    </row>
    <row r="162" spans="1:29" ht="12.95" hidden="1" customHeight="1" x14ac:dyDescent="0.2">
      <c r="A162" s="43">
        <v>4520</v>
      </c>
      <c r="B162" s="43"/>
      <c r="C162" s="43">
        <f>C158*(C151-C152)</f>
        <v>0</v>
      </c>
      <c r="D162" s="43">
        <f t="shared" ref="D162:G162" si="81">D158*(D151-D152)</f>
        <v>0</v>
      </c>
      <c r="E162" s="43">
        <f t="shared" si="81"/>
        <v>0</v>
      </c>
      <c r="F162" s="43">
        <f t="shared" si="81"/>
        <v>0</v>
      </c>
      <c r="G162" s="43">
        <f t="shared" si="81"/>
        <v>0</v>
      </c>
      <c r="H162" s="45"/>
      <c r="I162" s="43">
        <f t="shared" ref="I162:M162" si="82">I158*(I151-I152)</f>
        <v>0</v>
      </c>
      <c r="J162" s="43">
        <f t="shared" si="82"/>
        <v>0</v>
      </c>
      <c r="K162" s="43">
        <f t="shared" si="82"/>
        <v>0</v>
      </c>
      <c r="L162" s="43">
        <f t="shared" si="82"/>
        <v>0</v>
      </c>
      <c r="M162" s="43">
        <f t="shared" si="82"/>
        <v>0</v>
      </c>
      <c r="O162" s="43">
        <f t="shared" si="64"/>
        <v>0</v>
      </c>
      <c r="P162" s="43">
        <f t="shared" si="65"/>
        <v>0</v>
      </c>
      <c r="Q162" s="43">
        <f t="shared" si="66"/>
        <v>0</v>
      </c>
      <c r="R162" s="43">
        <f t="shared" si="67"/>
        <v>0</v>
      </c>
      <c r="S162" s="43">
        <f t="shared" si="68"/>
        <v>0</v>
      </c>
      <c r="T162" s="43">
        <f t="shared" si="69"/>
        <v>0</v>
      </c>
      <c r="U162" s="43">
        <f t="shared" si="70"/>
        <v>0</v>
      </c>
      <c r="V162" s="43">
        <f t="shared" si="71"/>
        <v>0</v>
      </c>
      <c r="W162" s="43">
        <f t="shared" si="72"/>
        <v>0</v>
      </c>
      <c r="X162" s="43">
        <f t="shared" si="73"/>
        <v>0</v>
      </c>
      <c r="Y162" s="43">
        <f t="shared" si="74"/>
        <v>0</v>
      </c>
      <c r="Z162" s="43">
        <f t="shared" si="75"/>
        <v>0</v>
      </c>
      <c r="AA162" s="43">
        <f t="shared" si="76"/>
        <v>0</v>
      </c>
      <c r="AB162" s="43">
        <f t="shared" si="77"/>
        <v>0</v>
      </c>
      <c r="AC162" s="43">
        <f t="shared" si="78"/>
        <v>0</v>
      </c>
    </row>
    <row r="163" spans="1:29" ht="12.95" hidden="1" customHeight="1" x14ac:dyDescent="0.2">
      <c r="A163" s="43">
        <v>4500</v>
      </c>
      <c r="B163" s="43"/>
      <c r="C163" s="43">
        <f>C158*(C150-C151)</f>
        <v>0</v>
      </c>
      <c r="D163" s="43">
        <f t="shared" ref="D163:G163" si="83">D158*(D150-D151)</f>
        <v>0</v>
      </c>
      <c r="E163" s="43">
        <f t="shared" si="83"/>
        <v>0</v>
      </c>
      <c r="F163" s="43">
        <f t="shared" si="83"/>
        <v>0</v>
      </c>
      <c r="G163" s="43">
        <f t="shared" si="83"/>
        <v>0</v>
      </c>
      <c r="H163" s="45"/>
      <c r="I163" s="43">
        <f t="shared" ref="I163:M163" si="84">I158*(I150-I151)</f>
        <v>0</v>
      </c>
      <c r="J163" s="43">
        <f t="shared" si="84"/>
        <v>0</v>
      </c>
      <c r="K163" s="43">
        <f t="shared" si="84"/>
        <v>0</v>
      </c>
      <c r="L163" s="43">
        <f t="shared" si="84"/>
        <v>0</v>
      </c>
      <c r="M163" s="43">
        <f t="shared" si="84"/>
        <v>0</v>
      </c>
      <c r="O163" s="43">
        <f t="shared" si="64"/>
        <v>0</v>
      </c>
      <c r="P163" s="43">
        <f t="shared" si="65"/>
        <v>0</v>
      </c>
      <c r="Q163" s="43">
        <f t="shared" si="66"/>
        <v>0</v>
      </c>
      <c r="R163" s="43">
        <f t="shared" si="67"/>
        <v>0</v>
      </c>
      <c r="S163" s="43">
        <f t="shared" si="68"/>
        <v>0</v>
      </c>
      <c r="T163" s="43">
        <f t="shared" si="69"/>
        <v>0</v>
      </c>
      <c r="U163" s="43">
        <f t="shared" si="70"/>
        <v>0</v>
      </c>
      <c r="V163" s="43">
        <f t="shared" si="71"/>
        <v>0</v>
      </c>
      <c r="W163" s="43">
        <f t="shared" si="72"/>
        <v>0</v>
      </c>
      <c r="X163" s="43">
        <f t="shared" si="73"/>
        <v>0</v>
      </c>
      <c r="Y163" s="43">
        <f t="shared" si="74"/>
        <v>0</v>
      </c>
      <c r="Z163" s="43">
        <f t="shared" si="75"/>
        <v>0</v>
      </c>
      <c r="AA163" s="43">
        <f t="shared" si="76"/>
        <v>0</v>
      </c>
      <c r="AB163" s="43">
        <f t="shared" si="77"/>
        <v>0</v>
      </c>
      <c r="AC163" s="43">
        <f t="shared" si="78"/>
        <v>0</v>
      </c>
    </row>
    <row r="164" spans="1:29" ht="12.95" hidden="1" customHeight="1" x14ac:dyDescent="0.2">
      <c r="A164" s="43">
        <v>4040</v>
      </c>
      <c r="B164" s="43"/>
      <c r="C164" s="43">
        <f>(C$157-C$158)*C152</f>
        <v>1</v>
      </c>
      <c r="D164" s="43">
        <f t="shared" ref="D164:G164" si="85">(D$157-D$158)*D152</f>
        <v>1</v>
      </c>
      <c r="E164" s="43">
        <f>(E$157-E$158)*E152</f>
        <v>1</v>
      </c>
      <c r="F164" s="43">
        <f t="shared" si="85"/>
        <v>1</v>
      </c>
      <c r="G164" s="43">
        <f t="shared" si="85"/>
        <v>1</v>
      </c>
      <c r="H164" s="45"/>
      <c r="I164" s="43">
        <f>(I$157-I$158)*I152</f>
        <v>0</v>
      </c>
      <c r="J164" s="43">
        <f>(J$157-J$158)*J152</f>
        <v>0</v>
      </c>
      <c r="K164" s="43">
        <f>(K$157-K$158)*K152</f>
        <v>0</v>
      </c>
      <c r="L164" s="43">
        <f>(L$157-L$158)*L152</f>
        <v>0</v>
      </c>
      <c r="M164" s="43">
        <f>(M$157-M$158)*M152</f>
        <v>0</v>
      </c>
      <c r="O164" s="43">
        <f t="shared" si="64"/>
        <v>0</v>
      </c>
      <c r="P164" s="43">
        <f t="shared" si="65"/>
        <v>0</v>
      </c>
      <c r="Q164" s="43">
        <f t="shared" si="66"/>
        <v>0</v>
      </c>
      <c r="R164" s="43">
        <f t="shared" si="67"/>
        <v>0</v>
      </c>
      <c r="S164" s="43">
        <f t="shared" si="68"/>
        <v>0</v>
      </c>
      <c r="T164" s="43">
        <f t="shared" si="69"/>
        <v>0</v>
      </c>
      <c r="U164" s="43">
        <f t="shared" si="70"/>
        <v>0</v>
      </c>
      <c r="V164" s="43">
        <f t="shared" si="71"/>
        <v>0</v>
      </c>
      <c r="W164" s="43">
        <f t="shared" si="72"/>
        <v>0</v>
      </c>
      <c r="X164" s="43">
        <f t="shared" si="73"/>
        <v>0</v>
      </c>
      <c r="Y164" s="43">
        <f t="shared" si="74"/>
        <v>0</v>
      </c>
      <c r="Z164" s="43">
        <f t="shared" si="75"/>
        <v>0</v>
      </c>
      <c r="AA164" s="43">
        <f t="shared" si="76"/>
        <v>0</v>
      </c>
      <c r="AB164" s="43">
        <f t="shared" si="77"/>
        <v>0</v>
      </c>
      <c r="AC164" s="43">
        <f t="shared" si="78"/>
        <v>0</v>
      </c>
    </row>
    <row r="165" spans="1:29" ht="12.95" hidden="1" customHeight="1" x14ac:dyDescent="0.2">
      <c r="A165" s="43">
        <v>4020</v>
      </c>
      <c r="B165" s="43"/>
      <c r="C165" s="43">
        <f>(C$157-C$158)*(C151-C152)</f>
        <v>0</v>
      </c>
      <c r="D165" s="43">
        <f t="shared" ref="D165:G165" si="86">(D$157-D$158)*(D151-D152)</f>
        <v>0</v>
      </c>
      <c r="E165" s="43">
        <f t="shared" si="86"/>
        <v>0</v>
      </c>
      <c r="F165" s="43">
        <f t="shared" si="86"/>
        <v>0</v>
      </c>
      <c r="G165" s="43">
        <f t="shared" si="86"/>
        <v>0</v>
      </c>
      <c r="H165" s="45"/>
      <c r="I165" s="43">
        <f>(I$157-I$158)*(I151-I152)</f>
        <v>1</v>
      </c>
      <c r="J165" s="43">
        <f>(J$157-J$158)*(J151-J152)</f>
        <v>0</v>
      </c>
      <c r="K165" s="43">
        <f>(K$157-K$158)*(K151-K152)</f>
        <v>0</v>
      </c>
      <c r="L165" s="43">
        <f>(L$157-L$158)*(L151-L152)</f>
        <v>0</v>
      </c>
      <c r="M165" s="43">
        <f>(M$157-M$158)*(M151-M152)</f>
        <v>0</v>
      </c>
      <c r="O165" s="43">
        <f t="shared" si="64"/>
        <v>0</v>
      </c>
      <c r="P165" s="43">
        <f t="shared" si="65"/>
        <v>0</v>
      </c>
      <c r="Q165" s="43">
        <f t="shared" si="66"/>
        <v>0</v>
      </c>
      <c r="R165" s="43">
        <f t="shared" si="67"/>
        <v>0</v>
      </c>
      <c r="S165" s="43">
        <f t="shared" si="68"/>
        <v>0</v>
      </c>
      <c r="T165" s="43">
        <f t="shared" si="69"/>
        <v>0</v>
      </c>
      <c r="U165" s="43">
        <f t="shared" si="70"/>
        <v>0</v>
      </c>
      <c r="V165" s="43">
        <f t="shared" si="71"/>
        <v>0</v>
      </c>
      <c r="W165" s="43">
        <f t="shared" si="72"/>
        <v>0</v>
      </c>
      <c r="X165" s="43">
        <f t="shared" si="73"/>
        <v>0</v>
      </c>
      <c r="Y165" s="43">
        <f t="shared" si="74"/>
        <v>0</v>
      </c>
      <c r="Z165" s="43">
        <f t="shared" si="75"/>
        <v>0</v>
      </c>
      <c r="AA165" s="43">
        <f t="shared" si="76"/>
        <v>0</v>
      </c>
      <c r="AB165" s="43">
        <f t="shared" si="77"/>
        <v>0</v>
      </c>
      <c r="AC165" s="43">
        <f t="shared" si="78"/>
        <v>0</v>
      </c>
    </row>
    <row r="166" spans="1:29" ht="12.95" hidden="1" customHeight="1" x14ac:dyDescent="0.2">
      <c r="A166" s="43">
        <v>4000</v>
      </c>
      <c r="B166" s="43"/>
      <c r="C166" s="43">
        <f>(C$157-C$158)*(C150-C151)</f>
        <v>0</v>
      </c>
      <c r="D166" s="43">
        <f t="shared" ref="D166:G166" si="87">(D$157-D$158)*(D150-D151)</f>
        <v>0</v>
      </c>
      <c r="E166" s="43">
        <f t="shared" si="87"/>
        <v>0</v>
      </c>
      <c r="F166" s="43">
        <f t="shared" si="87"/>
        <v>0</v>
      </c>
      <c r="G166" s="43">
        <f t="shared" si="87"/>
        <v>0</v>
      </c>
      <c r="H166" s="45"/>
      <c r="I166" s="43">
        <f>(I$157-I$158)*(I150-I151)</f>
        <v>0</v>
      </c>
      <c r="J166" s="43">
        <f>(J$157-J$158)*(J150-J151)</f>
        <v>0</v>
      </c>
      <c r="K166" s="43">
        <f>(K$157-K$158)*(K150-K151)</f>
        <v>0</v>
      </c>
      <c r="L166" s="43">
        <f>(L$157-L$158)*(L150-L151)</f>
        <v>0</v>
      </c>
      <c r="M166" s="43">
        <f>(M$157-M$158)*(M150-M151)</f>
        <v>0</v>
      </c>
      <c r="O166" s="43">
        <f t="shared" si="64"/>
        <v>0</v>
      </c>
      <c r="P166" s="43">
        <f t="shared" si="65"/>
        <v>0</v>
      </c>
      <c r="Q166" s="43">
        <f t="shared" si="66"/>
        <v>0</v>
      </c>
      <c r="R166" s="43">
        <f t="shared" si="67"/>
        <v>0</v>
      </c>
      <c r="S166" s="43">
        <f t="shared" si="68"/>
        <v>0</v>
      </c>
      <c r="T166" s="43">
        <f t="shared" si="69"/>
        <v>0</v>
      </c>
      <c r="U166" s="43">
        <f t="shared" si="70"/>
        <v>0</v>
      </c>
      <c r="V166" s="43">
        <f t="shared" si="71"/>
        <v>0</v>
      </c>
      <c r="W166" s="43">
        <f t="shared" si="72"/>
        <v>0</v>
      </c>
      <c r="X166" s="43">
        <f t="shared" si="73"/>
        <v>0</v>
      </c>
      <c r="Y166" s="43">
        <f t="shared" si="74"/>
        <v>0</v>
      </c>
      <c r="Z166" s="43">
        <f t="shared" si="75"/>
        <v>0</v>
      </c>
      <c r="AA166" s="43">
        <f t="shared" si="76"/>
        <v>0</v>
      </c>
      <c r="AB166" s="43">
        <f t="shared" si="77"/>
        <v>0</v>
      </c>
      <c r="AC166" s="43">
        <f t="shared" si="78"/>
        <v>0</v>
      </c>
    </row>
    <row r="167" spans="1:29" ht="12.95" hidden="1" customHeight="1" x14ac:dyDescent="0.2">
      <c r="A167" s="43">
        <v>2020</v>
      </c>
      <c r="B167" s="43"/>
      <c r="C167" s="43">
        <f>(C$156-C$157)*C151</f>
        <v>0</v>
      </c>
      <c r="D167" s="43">
        <f t="shared" ref="D167:G167" si="88">(D$156-D$157)*D151</f>
        <v>0</v>
      </c>
      <c r="E167" s="43">
        <f t="shared" si="88"/>
        <v>0</v>
      </c>
      <c r="F167" s="43">
        <f t="shared" si="88"/>
        <v>0</v>
      </c>
      <c r="G167" s="43">
        <f t="shared" si="88"/>
        <v>0</v>
      </c>
      <c r="H167" s="45"/>
      <c r="I167" s="43">
        <f>(I$156-I$157)*I151</f>
        <v>0</v>
      </c>
      <c r="J167" s="43">
        <f>(J$156-J$157)*J151</f>
        <v>1</v>
      </c>
      <c r="K167" s="43">
        <f>(K$156-K$157)*K151</f>
        <v>1</v>
      </c>
      <c r="L167" s="43">
        <f>(L$156-L$157)*L151</f>
        <v>1</v>
      </c>
      <c r="M167" s="43">
        <f>(M$156-M$157)*M151</f>
        <v>1</v>
      </c>
      <c r="O167" s="43">
        <f t="shared" si="64"/>
        <v>0</v>
      </c>
      <c r="P167" s="43">
        <f t="shared" si="65"/>
        <v>0</v>
      </c>
      <c r="Q167" s="43">
        <f t="shared" si="66"/>
        <v>0</v>
      </c>
      <c r="R167" s="43">
        <f t="shared" si="67"/>
        <v>0</v>
      </c>
      <c r="S167" s="43">
        <f t="shared" si="68"/>
        <v>0</v>
      </c>
      <c r="T167" s="43">
        <f t="shared" si="69"/>
        <v>0</v>
      </c>
      <c r="U167" s="43">
        <f t="shared" si="70"/>
        <v>0</v>
      </c>
      <c r="V167" s="43">
        <f t="shared" si="71"/>
        <v>0</v>
      </c>
      <c r="W167" s="43">
        <f t="shared" si="72"/>
        <v>0</v>
      </c>
      <c r="X167" s="43">
        <f t="shared" si="73"/>
        <v>0</v>
      </c>
      <c r="Y167" s="43">
        <f t="shared" si="74"/>
        <v>0</v>
      </c>
      <c r="Z167" s="43">
        <f t="shared" si="75"/>
        <v>0</v>
      </c>
      <c r="AA167" s="43">
        <f t="shared" si="76"/>
        <v>0</v>
      </c>
      <c r="AB167" s="43">
        <f t="shared" si="77"/>
        <v>0</v>
      </c>
      <c r="AC167" s="43">
        <f t="shared" si="78"/>
        <v>0</v>
      </c>
    </row>
    <row r="168" spans="1:29" ht="12.95" hidden="1" customHeight="1" x14ac:dyDescent="0.2">
      <c r="A168" s="43">
        <v>2000</v>
      </c>
      <c r="B168" s="43"/>
      <c r="C168" s="43">
        <f>(C$156-C$157)*(C150-C151)</f>
        <v>0</v>
      </c>
      <c r="D168" s="43">
        <f t="shared" ref="D168:G168" si="89">(D$156-D$157)*(D150-D151)</f>
        <v>0</v>
      </c>
      <c r="E168" s="43">
        <f t="shared" si="89"/>
        <v>0</v>
      </c>
      <c r="F168" s="43">
        <f t="shared" si="89"/>
        <v>0</v>
      </c>
      <c r="G168" s="43">
        <f t="shared" si="89"/>
        <v>0</v>
      </c>
      <c r="H168" s="45"/>
      <c r="I168" s="43">
        <f>(I$156-I$157)*(I150-I151)</f>
        <v>0</v>
      </c>
      <c r="J168" s="43">
        <f>(J$156-J$157)*(J150-J151)</f>
        <v>0</v>
      </c>
      <c r="K168" s="43">
        <f>(K$156-K$157)*(K150-K151)</f>
        <v>0</v>
      </c>
      <c r="L168" s="43">
        <f>(L$156-L$157)*(L150-L151)</f>
        <v>0</v>
      </c>
      <c r="M168" s="43">
        <f>(M$156-M$157)*(M150-M151)</f>
        <v>0</v>
      </c>
      <c r="O168" s="43">
        <f t="shared" si="64"/>
        <v>0</v>
      </c>
      <c r="P168" s="43">
        <f t="shared" si="65"/>
        <v>0</v>
      </c>
      <c r="Q168" s="43">
        <f t="shared" si="66"/>
        <v>0</v>
      </c>
      <c r="R168" s="43">
        <f t="shared" si="67"/>
        <v>0</v>
      </c>
      <c r="S168" s="43">
        <f t="shared" si="68"/>
        <v>0</v>
      </c>
      <c r="T168" s="43">
        <f t="shared" si="69"/>
        <v>0</v>
      </c>
      <c r="U168" s="43">
        <f t="shared" si="70"/>
        <v>0</v>
      </c>
      <c r="V168" s="43">
        <f t="shared" si="71"/>
        <v>0</v>
      </c>
      <c r="W168" s="43">
        <f t="shared" si="72"/>
        <v>0</v>
      </c>
      <c r="X168" s="43">
        <f t="shared" si="73"/>
        <v>0</v>
      </c>
      <c r="Y168" s="43">
        <f t="shared" si="74"/>
        <v>0</v>
      </c>
      <c r="Z168" s="43">
        <f t="shared" si="75"/>
        <v>0</v>
      </c>
      <c r="AA168" s="43">
        <f t="shared" si="76"/>
        <v>0</v>
      </c>
      <c r="AB168" s="43">
        <f t="shared" si="77"/>
        <v>0</v>
      </c>
      <c r="AC168" s="43">
        <f t="shared" si="78"/>
        <v>0</v>
      </c>
    </row>
    <row r="169" spans="1:29" ht="12.95" hidden="1" customHeight="1" x14ac:dyDescent="0.2">
      <c r="A169" s="43">
        <v>0</v>
      </c>
      <c r="B169" s="43"/>
      <c r="C169" s="43"/>
      <c r="D169" s="43"/>
      <c r="E169" s="43"/>
      <c r="F169" s="43"/>
      <c r="G169" s="43"/>
      <c r="H169" s="45"/>
      <c r="I169" s="43"/>
      <c r="J169" s="43"/>
      <c r="K169" s="43"/>
      <c r="L169" s="43"/>
      <c r="M169" s="43"/>
    </row>
    <row r="170" spans="1:29" ht="12.95" hidden="1" customHeight="1" x14ac:dyDescent="0.2">
      <c r="A170" s="43"/>
      <c r="B170" s="43"/>
      <c r="C170" s="43"/>
      <c r="D170" s="43"/>
      <c r="E170" s="43"/>
      <c r="F170" s="43"/>
      <c r="G170" s="43"/>
      <c r="H170" s="45"/>
      <c r="I170" s="43"/>
      <c r="J170" s="43"/>
      <c r="K170" s="43"/>
      <c r="L170" s="43"/>
      <c r="M170" s="43"/>
    </row>
    <row r="171" spans="1:29" ht="12.95" hidden="1" customHeight="1" x14ac:dyDescent="0.2">
      <c r="A171" s="43" t="s">
        <v>37</v>
      </c>
      <c r="B171" s="43"/>
      <c r="C171" s="41"/>
      <c r="D171" s="41"/>
      <c r="E171" s="41"/>
      <c r="F171" s="41"/>
      <c r="G171" s="41"/>
      <c r="H171" s="42"/>
      <c r="I171" s="41"/>
      <c r="J171" s="41"/>
      <c r="K171" s="41"/>
      <c r="L171" s="41"/>
      <c r="M171" s="41"/>
    </row>
    <row r="172" spans="1:29" ht="12.95" hidden="1" customHeight="1" x14ac:dyDescent="0.2">
      <c r="A172" s="43">
        <f>A160</f>
        <v>4545</v>
      </c>
      <c r="B172" s="41">
        <f>B$87*(B$95-B$20-B$18)</f>
        <v>0</v>
      </c>
      <c r="C172" s="41">
        <f>C$87*C149</f>
        <v>0</v>
      </c>
      <c r="D172" s="41">
        <f t="shared" ref="D172:M172" si="90">D$87*D149</f>
        <v>0</v>
      </c>
      <c r="E172" s="41">
        <f t="shared" si="90"/>
        <v>0</v>
      </c>
      <c r="F172" s="41">
        <f t="shared" si="90"/>
        <v>0</v>
      </c>
      <c r="G172" s="41">
        <f t="shared" si="90"/>
        <v>0</v>
      </c>
      <c r="H172" s="41"/>
      <c r="I172" s="41">
        <f t="shared" si="90"/>
        <v>1246.1748</v>
      </c>
      <c r="J172" s="41">
        <f t="shared" si="90"/>
        <v>1261.7519850000001</v>
      </c>
      <c r="K172" s="41">
        <f t="shared" si="90"/>
        <v>762</v>
      </c>
      <c r="L172" s="41">
        <f t="shared" si="90"/>
        <v>762</v>
      </c>
      <c r="M172" s="41">
        <f t="shared" si="90"/>
        <v>762</v>
      </c>
    </row>
    <row r="173" spans="1:29" ht="12.95" hidden="1" customHeight="1" x14ac:dyDescent="0.2">
      <c r="A173" s="43">
        <f t="shared" ref="A173:A181" si="91">A161</f>
        <v>4540</v>
      </c>
      <c r="B173" s="41">
        <f>B$87*(B$95-B$67)+B$86*(B$67-B$20-B$18)</f>
        <v>0</v>
      </c>
      <c r="C173" s="41">
        <f>C$87*(C$147+C$149-C$67)+C$86*(C$67-C$147)</f>
        <v>-6440</v>
      </c>
      <c r="D173" s="41">
        <f>D$87*(D$147+D$149-D$67)+D$86*(D$67-D$147)</f>
        <v>-6328</v>
      </c>
      <c r="E173" s="41">
        <f>E$87*(E$147+E$149-E$67)+E$86*(E$67-E$147)</f>
        <v>-6188</v>
      </c>
      <c r="F173" s="41">
        <f>F$87*(F$147+F$149-F$67)+F$86*(F$67-F$147)</f>
        <v>-6048</v>
      </c>
      <c r="G173" s="41">
        <f>G$87*(G$147+G$149-G$67)+G$86*(G$67-G$147)</f>
        <v>-5908</v>
      </c>
      <c r="H173" s="41"/>
      <c r="I173" s="41">
        <f t="shared" ref="I173" si="92">I$87*(I$147+I$149-I$67)+I$86*(I$67-I$147)</f>
        <v>-5529.8251999999993</v>
      </c>
      <c r="J173" s="41">
        <f>J$87*(J$147+J$149-J$67)+J$86*(J$67-J$147)</f>
        <v>-5542.2480150000047</v>
      </c>
      <c r="K173" s="41">
        <f>K$87*(K$147+K$149-K$67)+K$86*(K$67-K$147)</f>
        <v>-6042</v>
      </c>
      <c r="L173" s="41">
        <f>L$87*(L$147+L$149-L$67)+L$86*(L$67-L$147)</f>
        <v>-6042</v>
      </c>
      <c r="M173" s="41">
        <f>M$87*(M$147+M$149-M$67)+M$86*(M$67-M$147)</f>
        <v>-6042</v>
      </c>
    </row>
    <row r="174" spans="1:29" ht="12.95" hidden="1" customHeight="1" x14ac:dyDescent="0.2">
      <c r="A174" s="43">
        <f t="shared" si="91"/>
        <v>4520</v>
      </c>
      <c r="B174" s="41">
        <f>B$87*(B$95-B$67)+B$86*(B$67-B$66)+B$85*(B$66-B$20-B$18)</f>
        <v>0</v>
      </c>
      <c r="C174" s="41">
        <f>C$87*(C$147+C$149-(C$67-C$66))+C$86*(C$147+C$149-C$67)+C$85*(C$66-C$147)</f>
        <v>-65032</v>
      </c>
      <c r="D174" s="41">
        <f>D$87*(D$147+D$149-D$67+D$66)+D$86*(D$147+D$149-D$67)+D$85*(D$66-D$147)</f>
        <v>-62895.5</v>
      </c>
      <c r="E174" s="41">
        <f>E$87*(E$147+E$149-E$67+E$66)+E$86*(E$147+E$149-E$67)+E$85*(E$66-E$147)</f>
        <v>-61318</v>
      </c>
      <c r="F174" s="41">
        <f>F$87*(F$147+F$149-F$67+F$66)+F$86*(F$147+F$149-F$67)+F$85*(F$66-F$147)</f>
        <v>-59740.5</v>
      </c>
      <c r="G174" s="41">
        <f>G$87*(G$147+G$149-G$67+G$66)+G$86*(G$147+G$149-G$67)+G$85*(G$66-G$147)</f>
        <v>-58163</v>
      </c>
      <c r="H174" s="41"/>
      <c r="I174" s="41">
        <f>I$87*(I$147+I$149-I$67+I$66)+I$86*(I$147+I$149-I$67)+I$85*(I$66-I$147)</f>
        <v>-66508.815199999997</v>
      </c>
      <c r="J174" s="41">
        <f>J$87*(J$147+J$149-J$67+J$66)+J$86*(J$147+J$149-J$67)+J$85*(J$66-J$147)</f>
        <v>-65920.950389999998</v>
      </c>
      <c r="K174" s="41">
        <f>K$87*(K$147+K$149-K$67+K$66)+K$86*(K$147+K$149-K$67)+K$85*(K$66-K$147)</f>
        <v>-66847</v>
      </c>
      <c r="L174" s="41">
        <f>L$87*(L$147+L$149-L$67+L$66)+L$86*(L$147+L$149-L$67)+L$85*(L$66-L$147)</f>
        <v>-66847</v>
      </c>
      <c r="M174" s="41">
        <f>M$87*(M$147+M$149-M$67+M$66)+M$86*(M$147+M$149-M$67)+M$85*(M$66-M$147)</f>
        <v>-66847</v>
      </c>
    </row>
    <row r="175" spans="1:29" ht="12.95" hidden="1" customHeight="1" x14ac:dyDescent="0.2">
      <c r="A175" s="43">
        <f t="shared" si="91"/>
        <v>4500</v>
      </c>
      <c r="B175" s="41">
        <f>B$87*(B$95-B$67)+B$86*(B$67-B$66)+B$85*(B$66-B$65)+B$83*(B$65-B$20-B$18)</f>
        <v>0</v>
      </c>
      <c r="C175" s="41">
        <v>0</v>
      </c>
      <c r="D175" s="41">
        <v>0</v>
      </c>
      <c r="E175" s="41">
        <v>0</v>
      </c>
      <c r="F175" s="41">
        <v>0</v>
      </c>
      <c r="G175" s="41">
        <v>0</v>
      </c>
      <c r="H175" s="41"/>
      <c r="I175" s="41">
        <v>0</v>
      </c>
      <c r="J175" s="41">
        <v>0</v>
      </c>
      <c r="K175" s="41">
        <v>0</v>
      </c>
      <c r="L175" s="41">
        <v>0</v>
      </c>
      <c r="M175" s="41">
        <v>0</v>
      </c>
    </row>
    <row r="176" spans="1:29" ht="12.95" hidden="1" customHeight="1" x14ac:dyDescent="0.2">
      <c r="A176" s="43">
        <f t="shared" si="91"/>
        <v>4040</v>
      </c>
      <c r="B176" s="41">
        <f>B$86*(B$95-B$20-B$18)</f>
        <v>0</v>
      </c>
      <c r="C176" s="41">
        <f>C$86*C149</f>
        <v>0</v>
      </c>
      <c r="D176" s="41">
        <f t="shared" ref="D176:M176" si="93">D$86*D149</f>
        <v>0</v>
      </c>
      <c r="E176" s="41">
        <f t="shared" si="93"/>
        <v>0</v>
      </c>
      <c r="F176" s="41">
        <f t="shared" si="93"/>
        <v>0</v>
      </c>
      <c r="G176" s="41">
        <f t="shared" si="93"/>
        <v>0</v>
      </c>
      <c r="H176" s="41"/>
      <c r="I176" s="41">
        <f t="shared" si="93"/>
        <v>1063.01</v>
      </c>
      <c r="J176" s="41">
        <f t="shared" si="93"/>
        <v>1076.2976249999999</v>
      </c>
      <c r="K176" s="41">
        <f t="shared" si="93"/>
        <v>650</v>
      </c>
      <c r="L176" s="41">
        <f t="shared" si="93"/>
        <v>650</v>
      </c>
      <c r="M176" s="41">
        <f t="shared" si="93"/>
        <v>650</v>
      </c>
    </row>
    <row r="177" spans="1:13" ht="12.95" hidden="1" customHeight="1" x14ac:dyDescent="0.2">
      <c r="A177" s="43">
        <f t="shared" si="91"/>
        <v>4020</v>
      </c>
      <c r="B177" s="41">
        <f>B$86*(B$95-B$66)+B$85*(B$66-B$20-B$18)</f>
        <v>0</v>
      </c>
      <c r="C177" s="41">
        <f>C$86*(C$147+C$149-C$66)+C$85*(C$66-C$147)</f>
        <v>750</v>
      </c>
      <c r="D177" s="41">
        <f>D$86*(D$147+D$149-D$66)+D$85*(D$66-D$147)</f>
        <v>875</v>
      </c>
      <c r="E177" s="41">
        <f>E$86*(E$147+E$149-E$66)+E$85*(E$66-E$147)</f>
        <v>1500</v>
      </c>
      <c r="F177" s="41">
        <f>F$86*(F$147+F$149-F$66)+F$85*(F$66-F$147)</f>
        <v>2125</v>
      </c>
      <c r="G177" s="41">
        <f>G$86*(G$147+G$149-G$66)+G$85*(G$66-G$147)</f>
        <v>2750</v>
      </c>
      <c r="H177" s="41"/>
      <c r="I177" s="41">
        <f>I$86*(I$147+I$149-I$66)+I$85*(I$66-I$147)</f>
        <v>313.01000000000096</v>
      </c>
      <c r="J177" s="41">
        <f>J$86*(J$147+J$149-J$66)+J$85*(J$66-J$147)</f>
        <v>-173.70237500000076</v>
      </c>
      <c r="K177" s="41">
        <f>K$86*(K$147+K$149-K$66)+K$85*(K$66-K$147)</f>
        <v>-600</v>
      </c>
      <c r="L177" s="41">
        <f>L$86*(L$147+L$149-L$66)+L$85*(L$66-L$147)</f>
        <v>-600</v>
      </c>
      <c r="M177" s="41">
        <f>M$86*(M$147+M$149-M$66)+M$85*(M$66-M$147)</f>
        <v>-600</v>
      </c>
    </row>
    <row r="178" spans="1:13" ht="12.95" hidden="1" customHeight="1" x14ac:dyDescent="0.2">
      <c r="A178" s="43">
        <f t="shared" si="91"/>
        <v>4000</v>
      </c>
      <c r="B178" s="41">
        <f>B$86*(B$95-B$66)+B$85*(B$66-B$65)+B$84*(B$65-B$20-B$18)</f>
        <v>0</v>
      </c>
      <c r="C178" s="41">
        <v>0</v>
      </c>
      <c r="D178" s="41">
        <f>C178</f>
        <v>0</v>
      </c>
      <c r="E178" s="41">
        <f t="shared" ref="E178:M178" si="94">D178</f>
        <v>0</v>
      </c>
      <c r="F178" s="41">
        <f t="shared" si="94"/>
        <v>0</v>
      </c>
      <c r="G178" s="41">
        <f t="shared" si="94"/>
        <v>0</v>
      </c>
      <c r="H178" s="41"/>
      <c r="I178" s="41">
        <f t="shared" si="94"/>
        <v>0</v>
      </c>
      <c r="J178" s="41">
        <f t="shared" si="94"/>
        <v>0</v>
      </c>
      <c r="K178" s="41">
        <f t="shared" si="94"/>
        <v>0</v>
      </c>
      <c r="L178" s="41">
        <f t="shared" si="94"/>
        <v>0</v>
      </c>
      <c r="M178" s="41">
        <f t="shared" si="94"/>
        <v>0</v>
      </c>
    </row>
    <row r="179" spans="1:13" ht="12.95" hidden="1" customHeight="1" x14ac:dyDescent="0.2">
      <c r="A179" s="43">
        <f t="shared" si="91"/>
        <v>2020</v>
      </c>
      <c r="B179" s="41">
        <f>B$85*(B$95-B$20-B$18)</f>
        <v>0</v>
      </c>
      <c r="C179" s="41">
        <f>C$85*C149</f>
        <v>0</v>
      </c>
      <c r="D179" s="41">
        <f t="shared" ref="D179:M179" si="95">D$85*D149</f>
        <v>0</v>
      </c>
      <c r="E179" s="41">
        <f t="shared" si="95"/>
        <v>0</v>
      </c>
      <c r="F179" s="41">
        <f t="shared" si="95"/>
        <v>0</v>
      </c>
      <c r="G179" s="41">
        <f t="shared" si="95"/>
        <v>0</v>
      </c>
      <c r="H179" s="41"/>
      <c r="I179" s="41">
        <f t="shared" si="95"/>
        <v>245.30999999999997</v>
      </c>
      <c r="J179" s="41">
        <f t="shared" si="95"/>
        <v>248.376375</v>
      </c>
      <c r="K179" s="41">
        <f t="shared" si="95"/>
        <v>150</v>
      </c>
      <c r="L179" s="41">
        <f t="shared" si="95"/>
        <v>150</v>
      </c>
      <c r="M179" s="41">
        <f t="shared" si="95"/>
        <v>150</v>
      </c>
    </row>
    <row r="180" spans="1:13" ht="12.95" hidden="1" customHeight="1" x14ac:dyDescent="0.2">
      <c r="A180" s="43">
        <f t="shared" si="91"/>
        <v>2000</v>
      </c>
      <c r="B180" s="41">
        <f>B$85*(B$95-B$65)+B$84*(B$65-B$20-B$18)</f>
        <v>0</v>
      </c>
      <c r="C180" s="41">
        <f>C$85*(C$147+C149-C$65)+C$84*(C$65-C$147)</f>
        <v>2625</v>
      </c>
      <c r="D180" s="41">
        <f>D$85*(D$147+D149-D$65)+D$84*(D$65-D$147)</f>
        <v>2775</v>
      </c>
      <c r="E180" s="41">
        <f>E$85*(E$147+E149-E$65)+E$84*(E$65-E$147)</f>
        <v>2962.5</v>
      </c>
      <c r="F180" s="41">
        <f>F$85*(F$147+F149-F$65)+F$84*(F$65-F$147)</f>
        <v>3150</v>
      </c>
      <c r="G180" s="41">
        <f>G$85*(G$147+G149-G$65)+G$84*(G$65-G$147)</f>
        <v>3337.5</v>
      </c>
      <c r="H180" s="41"/>
      <c r="I180" s="41">
        <f>I$85*(I$147+I149-I$65)+I$84*(I$65-I$147)</f>
        <v>2420.31</v>
      </c>
      <c r="J180" s="41">
        <f>J$85*(J$147+J149-J$65)+J$84*(J$65-J$147)</f>
        <v>2385.8763749999998</v>
      </c>
      <c r="K180" s="41">
        <f>K$85*(K$147+K149-K$65)+K$84*(K$65-K$147)</f>
        <v>2287.5</v>
      </c>
      <c r="L180" s="41">
        <f>L$85*(L$147+L149-L$65)+L$84*(L$65-L$147)</f>
        <v>2287.5</v>
      </c>
      <c r="M180" s="41">
        <f>M$85*(M$147+M149-M$65)+M$84*(M$65-M$147)</f>
        <v>2287.5</v>
      </c>
    </row>
    <row r="181" spans="1:13" ht="12.95" hidden="1" customHeight="1" x14ac:dyDescent="0.2">
      <c r="A181" s="43">
        <f t="shared" si="91"/>
        <v>0</v>
      </c>
      <c r="B181" s="43"/>
      <c r="C181" s="41"/>
      <c r="D181" s="41"/>
      <c r="E181" s="41"/>
      <c r="F181" s="41"/>
      <c r="G181" s="41"/>
      <c r="H181" s="42"/>
      <c r="I181" s="41"/>
      <c r="J181" s="41"/>
      <c r="K181" s="41"/>
      <c r="L181" s="41"/>
      <c r="M181" s="41"/>
    </row>
    <row r="182" spans="1:13" ht="12.95" hidden="1" customHeight="1" x14ac:dyDescent="0.2">
      <c r="A182" s="43"/>
      <c r="B182" s="43"/>
      <c r="C182" s="43"/>
      <c r="D182" s="43"/>
      <c r="E182" s="43"/>
      <c r="F182" s="43"/>
      <c r="G182" s="43"/>
      <c r="H182" s="45"/>
      <c r="I182" s="43"/>
      <c r="J182" s="43"/>
      <c r="K182" s="43"/>
      <c r="L182" s="43"/>
      <c r="M182" s="43"/>
    </row>
    <row r="183" spans="1:13" ht="12.95" hidden="1" customHeight="1" x14ac:dyDescent="0.2">
      <c r="A183" s="43" t="s">
        <v>211</v>
      </c>
      <c r="B183" s="43"/>
      <c r="C183" s="43"/>
      <c r="D183" s="43"/>
      <c r="E183" s="43"/>
      <c r="F183" s="43"/>
      <c r="G183" s="43"/>
      <c r="H183" s="45"/>
      <c r="I183" s="43"/>
      <c r="J183" s="43"/>
      <c r="K183" s="43"/>
      <c r="L183" s="43"/>
      <c r="M183" s="43"/>
    </row>
    <row r="184" spans="1:13" ht="12.95" hidden="1" customHeight="1" x14ac:dyDescent="0.2">
      <c r="A184" s="43">
        <f>A172</f>
        <v>4545</v>
      </c>
      <c r="B184" s="43"/>
      <c r="C184" s="41">
        <f>C172*C160</f>
        <v>0</v>
      </c>
      <c r="D184" s="41">
        <f t="shared" ref="D184:G184" si="96">D172*D160</f>
        <v>0</v>
      </c>
      <c r="E184" s="41">
        <f t="shared" si="96"/>
        <v>0</v>
      </c>
      <c r="F184" s="41">
        <f t="shared" si="96"/>
        <v>0</v>
      </c>
      <c r="G184" s="41">
        <f t="shared" si="96"/>
        <v>0</v>
      </c>
      <c r="H184" s="42"/>
      <c r="I184" s="41">
        <f t="shared" ref="I184:M184" si="97">I172*I160</f>
        <v>0</v>
      </c>
      <c r="J184" s="41">
        <f t="shared" si="97"/>
        <v>0</v>
      </c>
      <c r="K184" s="41">
        <f t="shared" si="97"/>
        <v>0</v>
      </c>
      <c r="L184" s="41">
        <f t="shared" si="97"/>
        <v>0</v>
      </c>
      <c r="M184" s="41">
        <f t="shared" si="97"/>
        <v>0</v>
      </c>
    </row>
    <row r="185" spans="1:13" ht="12.95" hidden="1" customHeight="1" x14ac:dyDescent="0.2">
      <c r="A185" s="43">
        <f t="shared" ref="A185:A193" si="98">A173</f>
        <v>4540</v>
      </c>
      <c r="B185" s="43"/>
      <c r="C185" s="41">
        <f t="shared" ref="C185:G185" si="99">C173*C161</f>
        <v>0</v>
      </c>
      <c r="D185" s="41">
        <f t="shared" si="99"/>
        <v>0</v>
      </c>
      <c r="E185" s="41">
        <f t="shared" si="99"/>
        <v>0</v>
      </c>
      <c r="F185" s="41">
        <f t="shared" si="99"/>
        <v>0</v>
      </c>
      <c r="G185" s="41">
        <f t="shared" si="99"/>
        <v>0</v>
      </c>
      <c r="H185" s="42"/>
      <c r="I185" s="41">
        <f t="shared" ref="I185:M185" si="100">I173*I161</f>
        <v>0</v>
      </c>
      <c r="J185" s="41">
        <f t="shared" si="100"/>
        <v>0</v>
      </c>
      <c r="K185" s="41">
        <f t="shared" si="100"/>
        <v>0</v>
      </c>
      <c r="L185" s="41">
        <f t="shared" si="100"/>
        <v>0</v>
      </c>
      <c r="M185" s="41">
        <f t="shared" si="100"/>
        <v>0</v>
      </c>
    </row>
    <row r="186" spans="1:13" ht="12.95" hidden="1" customHeight="1" x14ac:dyDescent="0.2">
      <c r="A186" s="43">
        <f t="shared" si="98"/>
        <v>4520</v>
      </c>
      <c r="B186" s="43"/>
      <c r="C186" s="41">
        <f t="shared" ref="C186:G186" si="101">C174*C162</f>
        <v>0</v>
      </c>
      <c r="D186" s="41">
        <f t="shared" si="101"/>
        <v>0</v>
      </c>
      <c r="E186" s="41">
        <f t="shared" si="101"/>
        <v>0</v>
      </c>
      <c r="F186" s="41">
        <f t="shared" si="101"/>
        <v>0</v>
      </c>
      <c r="G186" s="41">
        <f t="shared" si="101"/>
        <v>0</v>
      </c>
      <c r="H186" s="42"/>
      <c r="I186" s="41">
        <f t="shared" ref="I186:M186" si="102">I174*I162</f>
        <v>0</v>
      </c>
      <c r="J186" s="41">
        <f t="shared" si="102"/>
        <v>0</v>
      </c>
      <c r="K186" s="41">
        <f t="shared" si="102"/>
        <v>0</v>
      </c>
      <c r="L186" s="41">
        <f t="shared" si="102"/>
        <v>0</v>
      </c>
      <c r="M186" s="41">
        <f t="shared" si="102"/>
        <v>0</v>
      </c>
    </row>
    <row r="187" spans="1:13" ht="12.95" hidden="1" customHeight="1" x14ac:dyDescent="0.2">
      <c r="A187" s="43">
        <f t="shared" si="98"/>
        <v>4500</v>
      </c>
      <c r="B187" s="43"/>
      <c r="C187" s="41">
        <f t="shared" ref="C187:G187" si="103">C175*C163</f>
        <v>0</v>
      </c>
      <c r="D187" s="41">
        <f t="shared" si="103"/>
        <v>0</v>
      </c>
      <c r="E187" s="41">
        <f t="shared" si="103"/>
        <v>0</v>
      </c>
      <c r="F187" s="41">
        <f t="shared" si="103"/>
        <v>0</v>
      </c>
      <c r="G187" s="41">
        <f t="shared" si="103"/>
        <v>0</v>
      </c>
      <c r="H187" s="42"/>
      <c r="I187" s="41">
        <f t="shared" ref="I187:M187" si="104">I175*I163</f>
        <v>0</v>
      </c>
      <c r="J187" s="41">
        <f t="shared" si="104"/>
        <v>0</v>
      </c>
      <c r="K187" s="41">
        <f t="shared" si="104"/>
        <v>0</v>
      </c>
      <c r="L187" s="41">
        <f t="shared" si="104"/>
        <v>0</v>
      </c>
      <c r="M187" s="41">
        <f t="shared" si="104"/>
        <v>0</v>
      </c>
    </row>
    <row r="188" spans="1:13" ht="12.95" hidden="1" customHeight="1" x14ac:dyDescent="0.2">
      <c r="A188" s="43">
        <f t="shared" si="98"/>
        <v>4040</v>
      </c>
      <c r="B188" s="43"/>
      <c r="C188" s="41">
        <f t="shared" ref="C188:G188" si="105">C176*C164</f>
        <v>0</v>
      </c>
      <c r="D188" s="41">
        <f t="shared" si="105"/>
        <v>0</v>
      </c>
      <c r="E188" s="41">
        <f t="shared" si="105"/>
        <v>0</v>
      </c>
      <c r="F188" s="41">
        <f t="shared" si="105"/>
        <v>0</v>
      </c>
      <c r="G188" s="41">
        <f t="shared" si="105"/>
        <v>0</v>
      </c>
      <c r="H188" s="42"/>
      <c r="I188" s="41">
        <f t="shared" ref="I188:M188" si="106">I176*I164</f>
        <v>0</v>
      </c>
      <c r="J188" s="41">
        <f t="shared" si="106"/>
        <v>0</v>
      </c>
      <c r="K188" s="41">
        <f t="shared" si="106"/>
        <v>0</v>
      </c>
      <c r="L188" s="41">
        <f t="shared" si="106"/>
        <v>0</v>
      </c>
      <c r="M188" s="41">
        <f t="shared" si="106"/>
        <v>0</v>
      </c>
    </row>
    <row r="189" spans="1:13" ht="12.95" hidden="1" customHeight="1" x14ac:dyDescent="0.2">
      <c r="A189" s="43">
        <f t="shared" si="98"/>
        <v>4020</v>
      </c>
      <c r="B189" s="43"/>
      <c r="C189" s="41">
        <f t="shared" ref="C189:G189" si="107">C177*C165</f>
        <v>0</v>
      </c>
      <c r="D189" s="41">
        <f t="shared" si="107"/>
        <v>0</v>
      </c>
      <c r="E189" s="41">
        <f t="shared" si="107"/>
        <v>0</v>
      </c>
      <c r="F189" s="41">
        <f t="shared" si="107"/>
        <v>0</v>
      </c>
      <c r="G189" s="41">
        <f t="shared" si="107"/>
        <v>0</v>
      </c>
      <c r="H189" s="42"/>
      <c r="I189" s="41">
        <f t="shared" ref="I189:M189" si="108">I177*I165</f>
        <v>313.01000000000096</v>
      </c>
      <c r="J189" s="41">
        <f t="shared" si="108"/>
        <v>0</v>
      </c>
      <c r="K189" s="41">
        <f t="shared" si="108"/>
        <v>0</v>
      </c>
      <c r="L189" s="41">
        <f t="shared" si="108"/>
        <v>0</v>
      </c>
      <c r="M189" s="41">
        <f t="shared" si="108"/>
        <v>0</v>
      </c>
    </row>
    <row r="190" spans="1:13" ht="12.95" hidden="1" customHeight="1" x14ac:dyDescent="0.2">
      <c r="A190" s="43">
        <f t="shared" si="98"/>
        <v>4000</v>
      </c>
      <c r="B190" s="43"/>
      <c r="C190" s="41">
        <f t="shared" ref="C190:G190" si="109">C178*C166</f>
        <v>0</v>
      </c>
      <c r="D190" s="41">
        <f t="shared" si="109"/>
        <v>0</v>
      </c>
      <c r="E190" s="41">
        <f t="shared" si="109"/>
        <v>0</v>
      </c>
      <c r="F190" s="41">
        <f t="shared" si="109"/>
        <v>0</v>
      </c>
      <c r="G190" s="41">
        <f t="shared" si="109"/>
        <v>0</v>
      </c>
      <c r="H190" s="42"/>
      <c r="I190" s="41">
        <f t="shared" ref="I190:M190" si="110">I178*I166</f>
        <v>0</v>
      </c>
      <c r="J190" s="41">
        <f t="shared" si="110"/>
        <v>0</v>
      </c>
      <c r="K190" s="41">
        <f t="shared" si="110"/>
        <v>0</v>
      </c>
      <c r="L190" s="41">
        <f t="shared" si="110"/>
        <v>0</v>
      </c>
      <c r="M190" s="41">
        <f t="shared" si="110"/>
        <v>0</v>
      </c>
    </row>
    <row r="191" spans="1:13" ht="12.95" hidden="1" customHeight="1" x14ac:dyDescent="0.2">
      <c r="A191" s="43">
        <f t="shared" si="98"/>
        <v>2020</v>
      </c>
      <c r="B191" s="43"/>
      <c r="C191" s="41">
        <f t="shared" ref="C191:G191" si="111">C179*C167</f>
        <v>0</v>
      </c>
      <c r="D191" s="41">
        <f t="shared" si="111"/>
        <v>0</v>
      </c>
      <c r="E191" s="41">
        <f t="shared" si="111"/>
        <v>0</v>
      </c>
      <c r="F191" s="41">
        <f t="shared" si="111"/>
        <v>0</v>
      </c>
      <c r="G191" s="41">
        <f t="shared" si="111"/>
        <v>0</v>
      </c>
      <c r="H191" s="42"/>
      <c r="I191" s="41">
        <f t="shared" ref="I191:M191" si="112">I179*I167</f>
        <v>0</v>
      </c>
      <c r="J191" s="41">
        <f t="shared" si="112"/>
        <v>248.376375</v>
      </c>
      <c r="K191" s="41">
        <f t="shared" si="112"/>
        <v>150</v>
      </c>
      <c r="L191" s="41">
        <f t="shared" si="112"/>
        <v>150</v>
      </c>
      <c r="M191" s="41">
        <f t="shared" si="112"/>
        <v>150</v>
      </c>
    </row>
    <row r="192" spans="1:13" ht="12.95" hidden="1" customHeight="1" x14ac:dyDescent="0.2">
      <c r="A192" s="43">
        <f t="shared" si="98"/>
        <v>2000</v>
      </c>
      <c r="B192" s="43"/>
      <c r="C192" s="41">
        <f t="shared" ref="C192:G192" si="113">C180*C168</f>
        <v>0</v>
      </c>
      <c r="D192" s="41">
        <f t="shared" si="113"/>
        <v>0</v>
      </c>
      <c r="E192" s="41">
        <f t="shared" si="113"/>
        <v>0</v>
      </c>
      <c r="F192" s="41">
        <f t="shared" si="113"/>
        <v>0</v>
      </c>
      <c r="G192" s="41">
        <f t="shared" si="113"/>
        <v>0</v>
      </c>
      <c r="H192" s="42"/>
      <c r="I192" s="41">
        <f t="shared" ref="I192:M192" si="114">I180*I168</f>
        <v>0</v>
      </c>
      <c r="J192" s="41">
        <f t="shared" si="114"/>
        <v>0</v>
      </c>
      <c r="K192" s="41">
        <f t="shared" si="114"/>
        <v>0</v>
      </c>
      <c r="L192" s="41">
        <f t="shared" si="114"/>
        <v>0</v>
      </c>
      <c r="M192" s="41">
        <f t="shared" si="114"/>
        <v>0</v>
      </c>
    </row>
    <row r="193" spans="1:13" ht="12.95" hidden="1" customHeight="1" x14ac:dyDescent="0.2">
      <c r="A193" s="43">
        <f t="shared" si="98"/>
        <v>0</v>
      </c>
      <c r="B193" s="43"/>
      <c r="C193" s="41">
        <f t="shared" ref="C193" si="115">C182*C169</f>
        <v>0</v>
      </c>
      <c r="D193" s="41"/>
      <c r="E193" s="41"/>
      <c r="F193" s="41"/>
      <c r="G193" s="41"/>
      <c r="H193" s="42"/>
      <c r="I193" s="41"/>
      <c r="J193" s="41"/>
      <c r="K193" s="41"/>
      <c r="L193" s="41"/>
      <c r="M193" s="41"/>
    </row>
    <row r="194" spans="1:13" ht="12.95" hidden="1" customHeight="1" x14ac:dyDescent="0.2">
      <c r="A194" s="43"/>
      <c r="B194" s="43"/>
      <c r="C194" s="41">
        <f>SUM(C184:C193)</f>
        <v>0</v>
      </c>
      <c r="D194" s="41">
        <f t="shared" ref="D194:G194" si="116">SUM(D184:D193)</f>
        <v>0</v>
      </c>
      <c r="E194" s="41">
        <f t="shared" si="116"/>
        <v>0</v>
      </c>
      <c r="F194" s="41">
        <f t="shared" si="116"/>
        <v>0</v>
      </c>
      <c r="G194" s="41">
        <f t="shared" si="116"/>
        <v>0</v>
      </c>
      <c r="H194" s="42"/>
      <c r="I194" s="41">
        <f t="shared" ref="I194" si="117">SUM(I184:I193)</f>
        <v>313.01000000000096</v>
      </c>
      <c r="J194" s="41">
        <f t="shared" ref="J194" si="118">SUM(J184:J193)</f>
        <v>248.376375</v>
      </c>
      <c r="K194" s="41">
        <f t="shared" ref="K194" si="119">SUM(K184:K193)</f>
        <v>150</v>
      </c>
      <c r="L194" s="41">
        <f t="shared" ref="L194" si="120">SUM(L184:L193)</f>
        <v>150</v>
      </c>
      <c r="M194" s="41">
        <f t="shared" ref="M194" si="121">SUM(M184:M193)</f>
        <v>150</v>
      </c>
    </row>
    <row r="195" spans="1:13" ht="12.95" customHeight="1" x14ac:dyDescent="0.2">
      <c r="C195" s="62"/>
      <c r="D195" s="5"/>
      <c r="E195" s="5"/>
      <c r="F195" s="5"/>
      <c r="G195" s="5"/>
      <c r="H195" s="30"/>
      <c r="I195" s="5"/>
      <c r="J195" s="5"/>
      <c r="K195" s="5"/>
      <c r="L195" s="5"/>
      <c r="M195" s="5"/>
    </row>
    <row r="196" spans="1:13" ht="12.95" customHeight="1" x14ac:dyDescent="0.2"/>
    <row r="197" spans="1:13" ht="12.95" customHeight="1" x14ac:dyDescent="0.2"/>
    <row r="198" spans="1:13" ht="12" customHeight="1" x14ac:dyDescent="0.2"/>
    <row r="199" spans="1:13" ht="12" customHeight="1" x14ac:dyDescent="0.2"/>
    <row r="200" spans="1:13" ht="12" customHeight="1" x14ac:dyDescent="0.2"/>
  </sheetData>
  <sheetProtection algorithmName="SHA-512" hashValue="ruQKrxvRkpL8/IucMYwuIyTYTc/4yqwb/bETadVkcs1X8f0wAX1Nqyw/1gBG/M6xITCvnxOSDjdh0oDX+Oyrgg==" saltValue="4OJx0ADYqlwMlAOb1nFOsA==" spinCount="100000" sheet="1" objects="1" scenarios="1"/>
  <pageMargins left="0.7" right="0.7" top="0.75" bottom="0.75" header="0.3" footer="0.3"/>
  <pageSetup paperSize="9" scale="52" orientation="portrait" verticalDpi="0" r:id="rId1"/>
  <headerFooter>
    <oddHeader xml:space="preserve">&amp;C&amp;"Lucida Sans,Bold"&amp;20&amp;UIncome &amp; Tax Detail&amp;"Lucida Sans,Regular"&amp;10&amp;U
</oddHeader>
    <oddFooter>&amp;L&amp;8This calculator is for Buy to Let investors to help them to assess the
impact of the changes to interest cost relief and is no substitute for
taking proper tax advice. No warranty is given as to its accuracy.&amp;R
&amp;8Mortgages for Business - July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A59" sqref="A59"/>
    </sheetView>
  </sheetViews>
  <sheetFormatPr defaultRowHeight="12.75" x14ac:dyDescent="0.2"/>
  <cols>
    <col min="1" max="1" width="52.375" customWidth="1"/>
    <col min="2" max="4" width="9.75" customWidth="1"/>
  </cols>
  <sheetData>
    <row r="1" spans="1:4" x14ac:dyDescent="0.2">
      <c r="A1" t="s">
        <v>154</v>
      </c>
    </row>
    <row r="3" spans="1:4" x14ac:dyDescent="0.2">
      <c r="A3" t="s">
        <v>163</v>
      </c>
    </row>
    <row r="4" spans="1:4" x14ac:dyDescent="0.2">
      <c r="A4" t="s">
        <v>160</v>
      </c>
    </row>
    <row r="5" spans="1:4" x14ac:dyDescent="0.2">
      <c r="A5" t="s">
        <v>161</v>
      </c>
    </row>
    <row r="7" spans="1:4" x14ac:dyDescent="0.2">
      <c r="A7" t="s">
        <v>164</v>
      </c>
    </row>
    <row r="8" spans="1:4" x14ac:dyDescent="0.2">
      <c r="A8" t="s">
        <v>174</v>
      </c>
    </row>
    <row r="9" spans="1:4" x14ac:dyDescent="0.2">
      <c r="A9" t="s">
        <v>176</v>
      </c>
    </row>
    <row r="10" spans="1:4" x14ac:dyDescent="0.2">
      <c r="A10" t="s">
        <v>175</v>
      </c>
    </row>
    <row r="12" spans="1:4" x14ac:dyDescent="0.2">
      <c r="A12" s="12" t="s">
        <v>173</v>
      </c>
      <c r="B12" s="105">
        <v>2.5000000000000001E-2</v>
      </c>
    </row>
    <row r="14" spans="1:4" x14ac:dyDescent="0.2">
      <c r="A14" t="s">
        <v>177</v>
      </c>
      <c r="B14" s="129" t="s">
        <v>165</v>
      </c>
      <c r="C14" s="129"/>
      <c r="D14" s="129"/>
    </row>
    <row r="15" spans="1:4" x14ac:dyDescent="0.2">
      <c r="A15" s="3" t="s">
        <v>166</v>
      </c>
      <c r="B15" s="104" t="s">
        <v>155</v>
      </c>
      <c r="C15" s="104" t="s">
        <v>156</v>
      </c>
      <c r="D15" s="104" t="s">
        <v>157</v>
      </c>
    </row>
    <row r="16" spans="1:4" x14ac:dyDescent="0.2">
      <c r="A16" t="s">
        <v>1</v>
      </c>
      <c r="B16" s="106">
        <f>B28</f>
        <v>2.469135802469136E-2</v>
      </c>
      <c r="C16" s="106">
        <f t="shared" ref="C16:D16" si="0">C28</f>
        <v>2.6748971193415638E-2</v>
      </c>
      <c r="D16" s="106">
        <f t="shared" si="0"/>
        <v>2.7497194163860834E-2</v>
      </c>
    </row>
    <row r="17" spans="1:4" x14ac:dyDescent="0.2">
      <c r="A17" t="s">
        <v>2</v>
      </c>
      <c r="B17" s="106">
        <f>B37</f>
        <v>2.469135802469136E-2</v>
      </c>
      <c r="C17" s="106">
        <f t="shared" ref="C17:D17" si="1">C37</f>
        <v>2.8806584362139922E-2</v>
      </c>
      <c r="D17" s="106">
        <f t="shared" si="1"/>
        <v>3.0303030303030304E-2</v>
      </c>
    </row>
    <row r="18" spans="1:4" x14ac:dyDescent="0.2">
      <c r="A18" t="s">
        <v>3</v>
      </c>
      <c r="B18" s="106">
        <f>B46</f>
        <v>2.469135802469136E-2</v>
      </c>
      <c r="C18" s="106">
        <f t="shared" ref="C18:D18" si="2">C46</f>
        <v>3.0864197530864206E-2</v>
      </c>
      <c r="D18" s="106">
        <f t="shared" si="2"/>
        <v>3.3108866442199777E-2</v>
      </c>
    </row>
    <row r="19" spans="1:4" x14ac:dyDescent="0.2">
      <c r="A19" t="s">
        <v>4</v>
      </c>
      <c r="B19" s="106">
        <f>B55</f>
        <v>2.4390243902439029E-2</v>
      </c>
      <c r="C19" s="106">
        <f t="shared" ref="C19:D19" si="3">C55</f>
        <v>3.2520325203252036E-2</v>
      </c>
      <c r="D19" s="106">
        <f t="shared" si="3"/>
        <v>3.5476718403547679E-2</v>
      </c>
    </row>
    <row r="23" spans="1:4" x14ac:dyDescent="0.2">
      <c r="A23" t="s">
        <v>167</v>
      </c>
      <c r="B23" s="129" t="s">
        <v>165</v>
      </c>
      <c r="C23" s="129"/>
      <c r="D23" s="129"/>
    </row>
    <row r="24" spans="1:4" x14ac:dyDescent="0.2">
      <c r="A24" s="3" t="s">
        <v>166</v>
      </c>
      <c r="B24" s="104" t="s">
        <v>155</v>
      </c>
      <c r="C24" s="104" t="s">
        <v>156</v>
      </c>
      <c r="D24" s="104" t="s">
        <v>157</v>
      </c>
    </row>
    <row r="25" spans="1:4" x14ac:dyDescent="0.2">
      <c r="A25" t="s">
        <v>158</v>
      </c>
      <c r="B25" s="106">
        <f>$B12*(1-Table25[[#Headers],[20%]])</f>
        <v>2.0000000000000004E-2</v>
      </c>
      <c r="C25" s="106">
        <f>$B12*(1-Table25[[#Headers],[40%]])</f>
        <v>1.4999999999999999E-2</v>
      </c>
      <c r="D25" s="106">
        <f>$B12*(1-Table25[[#Headers],[45%]])</f>
        <v>1.3750000000000002E-2</v>
      </c>
    </row>
    <row r="26" spans="1:4" x14ac:dyDescent="0.2">
      <c r="A26" t="s">
        <v>159</v>
      </c>
      <c r="B26" s="106">
        <f>B25</f>
        <v>2.0000000000000004E-2</v>
      </c>
      <c r="C26" s="106">
        <f>Table25[[#This Row],[20%]]*0.25+C25*0.75</f>
        <v>1.6250000000000001E-2</v>
      </c>
      <c r="D26" s="106">
        <f>Table25[[#This Row],[20%]]*0.25+D25*0.75</f>
        <v>1.5312500000000003E-2</v>
      </c>
    </row>
    <row r="27" spans="1:4" x14ac:dyDescent="0.2">
      <c r="A27" t="s">
        <v>172</v>
      </c>
      <c r="B27" s="106">
        <f>B26/(1-Table25[[#Headers],[20%]])</f>
        <v>2.5000000000000005E-2</v>
      </c>
      <c r="C27" s="106">
        <f>C26/(1-Table25[[#Headers],[40%]])</f>
        <v>2.7083333333333334E-2</v>
      </c>
      <c r="D27" s="106">
        <f>D26/(1-Table25[[#Headers],[45%]])</f>
        <v>2.7840909090909093E-2</v>
      </c>
    </row>
    <row r="28" spans="1:4" x14ac:dyDescent="0.2">
      <c r="A28" t="s">
        <v>171</v>
      </c>
      <c r="B28" s="106">
        <f>B27*(1-20%)/(1-19%)</f>
        <v>2.469135802469136E-2</v>
      </c>
      <c r="C28" s="106">
        <f t="shared" ref="C28:D28" si="4">C27*(1-20%)/(1-19%)</f>
        <v>2.6748971193415638E-2</v>
      </c>
      <c r="D28" s="106">
        <f t="shared" si="4"/>
        <v>2.7497194163860834E-2</v>
      </c>
    </row>
    <row r="32" spans="1:4" x14ac:dyDescent="0.2">
      <c r="A32" t="s">
        <v>168</v>
      </c>
      <c r="B32" s="129" t="s">
        <v>165</v>
      </c>
      <c r="C32" s="129"/>
      <c r="D32" s="129"/>
    </row>
    <row r="33" spans="1:4" x14ac:dyDescent="0.2">
      <c r="A33" s="3" t="s">
        <v>166</v>
      </c>
      <c r="B33" s="104" t="s">
        <v>155</v>
      </c>
      <c r="C33" s="104" t="s">
        <v>156</v>
      </c>
      <c r="D33" s="104" t="s">
        <v>157</v>
      </c>
    </row>
    <row r="34" spans="1:4" x14ac:dyDescent="0.2">
      <c r="A34" t="s">
        <v>158</v>
      </c>
      <c r="B34" s="106">
        <f>$B12*(1-Table256[[#Headers],[20%]])</f>
        <v>2.0000000000000004E-2</v>
      </c>
      <c r="C34" s="106">
        <f>$B12*(1-Table256[[#Headers],[40%]])</f>
        <v>1.4999999999999999E-2</v>
      </c>
      <c r="D34" s="106">
        <f>$B12*(1-Table256[[#Headers],[45%]])</f>
        <v>1.3750000000000002E-2</v>
      </c>
    </row>
    <row r="35" spans="1:4" x14ac:dyDescent="0.2">
      <c r="A35" t="s">
        <v>159</v>
      </c>
      <c r="B35" s="106">
        <f>B34</f>
        <v>2.0000000000000004E-2</v>
      </c>
      <c r="C35" s="106">
        <f>Table256[[#This Row],[20%]]*0.5+C34*0.5</f>
        <v>1.7500000000000002E-2</v>
      </c>
      <c r="D35" s="106">
        <f>Table256[[#This Row],[20%]]*0.5+D34*0.5</f>
        <v>1.6875000000000001E-2</v>
      </c>
    </row>
    <row r="36" spans="1:4" x14ac:dyDescent="0.2">
      <c r="A36" t="s">
        <v>172</v>
      </c>
      <c r="B36" s="106">
        <f>B35/(1-Table256[[#Headers],[20%]])</f>
        <v>2.5000000000000005E-2</v>
      </c>
      <c r="C36" s="106">
        <f>C35/(1-Table256[[#Headers],[40%]])</f>
        <v>2.9166666666666671E-2</v>
      </c>
      <c r="D36" s="106">
        <f>D35/(1-Table256[[#Headers],[45%]])</f>
        <v>3.0681818181818182E-2</v>
      </c>
    </row>
    <row r="37" spans="1:4" x14ac:dyDescent="0.2">
      <c r="A37" t="s">
        <v>171</v>
      </c>
      <c r="B37" s="106">
        <f>B36*(1-20%)/(1-19%)</f>
        <v>2.469135802469136E-2</v>
      </c>
      <c r="C37" s="106">
        <f t="shared" ref="C37:D37" si="5">C36*(1-20%)/(1-19%)</f>
        <v>2.8806584362139922E-2</v>
      </c>
      <c r="D37" s="106">
        <f t="shared" si="5"/>
        <v>3.0303030303030304E-2</v>
      </c>
    </row>
    <row r="41" spans="1:4" x14ac:dyDescent="0.2">
      <c r="A41" t="s">
        <v>169</v>
      </c>
      <c r="B41" s="129" t="s">
        <v>165</v>
      </c>
      <c r="C41" s="129"/>
      <c r="D41" s="129"/>
    </row>
    <row r="42" spans="1:4" x14ac:dyDescent="0.2">
      <c r="A42" s="3" t="s">
        <v>166</v>
      </c>
      <c r="B42" s="104" t="s">
        <v>155</v>
      </c>
      <c r="C42" s="104" t="s">
        <v>156</v>
      </c>
      <c r="D42" s="104" t="s">
        <v>157</v>
      </c>
    </row>
    <row r="43" spans="1:4" x14ac:dyDescent="0.2">
      <c r="A43" t="s">
        <v>158</v>
      </c>
      <c r="B43" s="106">
        <f>$B12*(1-Table2567[[#Headers],[20%]])</f>
        <v>2.0000000000000004E-2</v>
      </c>
      <c r="C43" s="106">
        <f>$B12*(1-Table2567[[#Headers],[40%]])</f>
        <v>1.4999999999999999E-2</v>
      </c>
      <c r="D43" s="106">
        <f>$B12*(1-Table2567[[#Headers],[45%]])</f>
        <v>1.3750000000000002E-2</v>
      </c>
    </row>
    <row r="44" spans="1:4" x14ac:dyDescent="0.2">
      <c r="A44" t="s">
        <v>159</v>
      </c>
      <c r="B44" s="106">
        <f>B43</f>
        <v>2.0000000000000004E-2</v>
      </c>
      <c r="C44" s="106">
        <f>Table2567[[#This Row],[20%]]*0.75+C43*0.25</f>
        <v>1.8750000000000003E-2</v>
      </c>
      <c r="D44" s="106">
        <f>Table2567[[#This Row],[20%]]*0.75+D43*0.25</f>
        <v>1.8437500000000002E-2</v>
      </c>
    </row>
    <row r="45" spans="1:4" x14ac:dyDescent="0.2">
      <c r="A45" t="s">
        <v>172</v>
      </c>
      <c r="B45" s="106">
        <f>B44/(1-Table2567[[#Headers],[20%]])</f>
        <v>2.5000000000000005E-2</v>
      </c>
      <c r="C45" s="106">
        <f>C44/(1-Table2567[[#Headers],[40%]])</f>
        <v>3.1250000000000007E-2</v>
      </c>
      <c r="D45" s="106">
        <f>D44/(1-Table2567[[#Headers],[45%]])</f>
        <v>3.3522727272727273E-2</v>
      </c>
    </row>
    <row r="46" spans="1:4" x14ac:dyDescent="0.2">
      <c r="A46" t="s">
        <v>171</v>
      </c>
      <c r="B46" s="106">
        <f>B45*(1-20%)/(1-19%)</f>
        <v>2.469135802469136E-2</v>
      </c>
      <c r="C46" s="106">
        <f t="shared" ref="C46:D46" si="6">C45*(1-20%)/(1-19%)</f>
        <v>3.0864197530864206E-2</v>
      </c>
      <c r="D46" s="106">
        <f t="shared" si="6"/>
        <v>3.3108866442199777E-2</v>
      </c>
    </row>
    <row r="50" spans="1:4" x14ac:dyDescent="0.2">
      <c r="A50" t="s">
        <v>170</v>
      </c>
      <c r="B50" s="129" t="s">
        <v>165</v>
      </c>
      <c r="C50" s="129"/>
      <c r="D50" s="129"/>
    </row>
    <row r="51" spans="1:4" x14ac:dyDescent="0.2">
      <c r="A51" s="3" t="s">
        <v>166</v>
      </c>
      <c r="B51" s="104" t="s">
        <v>155</v>
      </c>
      <c r="C51" s="104" t="s">
        <v>156</v>
      </c>
      <c r="D51" s="104" t="s">
        <v>157</v>
      </c>
    </row>
    <row r="52" spans="1:4" x14ac:dyDescent="0.2">
      <c r="A52" t="s">
        <v>158</v>
      </c>
      <c r="B52" s="106">
        <f>$B12*(1-Table2[[#Headers],[20%]])</f>
        <v>2.0000000000000004E-2</v>
      </c>
      <c r="C52" s="106">
        <f>$B12*(1-Table2[[#Headers],[40%]])</f>
        <v>1.4999999999999999E-2</v>
      </c>
      <c r="D52" s="106">
        <f>$B12*(1-Table2[[#Headers],[45%]])</f>
        <v>1.3750000000000002E-2</v>
      </c>
    </row>
    <row r="53" spans="1:4" x14ac:dyDescent="0.2">
      <c r="A53" t="s">
        <v>159</v>
      </c>
      <c r="B53" s="106">
        <f>B52</f>
        <v>2.0000000000000004E-2</v>
      </c>
      <c r="C53" s="106">
        <f>Table2[[#This Row],[20%]]</f>
        <v>2.0000000000000004E-2</v>
      </c>
      <c r="D53" s="106">
        <f>Table2[[#This Row],[40%]]</f>
        <v>2.0000000000000004E-2</v>
      </c>
    </row>
    <row r="54" spans="1:4" x14ac:dyDescent="0.2">
      <c r="A54" t="s">
        <v>172</v>
      </c>
      <c r="B54" s="106">
        <f>B53/(1-Table2[[#Headers],[20%]])</f>
        <v>2.5000000000000005E-2</v>
      </c>
      <c r="C54" s="106">
        <f>C53/(1-Table2[[#Headers],[40%]])</f>
        <v>3.333333333333334E-2</v>
      </c>
      <c r="D54" s="106">
        <f>D53/(1-Table2[[#Headers],[45%]])</f>
        <v>3.6363636363636369E-2</v>
      </c>
    </row>
    <row r="55" spans="1:4" x14ac:dyDescent="0.2">
      <c r="A55" t="s">
        <v>162</v>
      </c>
      <c r="B55" s="106">
        <f t="shared" ref="B55:C55" si="7">B54*(1-20%)/(1-18%)</f>
        <v>2.4390243902439029E-2</v>
      </c>
      <c r="C55" s="106">
        <f t="shared" si="7"/>
        <v>3.2520325203252036E-2</v>
      </c>
      <c r="D55" s="106">
        <f>D54*(1-20%)/(1-18%)</f>
        <v>3.5476718403547679E-2</v>
      </c>
    </row>
    <row r="58" spans="1:4" x14ac:dyDescent="0.2">
      <c r="A58" t="s">
        <v>210</v>
      </c>
    </row>
    <row r="59" spans="1:4" x14ac:dyDescent="0.2">
      <c r="A59" t="s">
        <v>209</v>
      </c>
    </row>
  </sheetData>
  <sheetProtection algorithmName="SHA-512" hashValue="NamamQ/WAUR3smUdi5tW4pzq1XrQE3GhMkbsUM+pOWmWffevW/dMnxAKxFDyQmX6vD4uXV21RdcWpxe7t2atow==" saltValue="G8JewKdqBHNs5Oo/QOUoFw==" spinCount="100000" sheet="1" objects="1" scenarios="1"/>
  <mergeCells count="5">
    <mergeCell ref="B50:D50"/>
    <mergeCell ref="B23:D23"/>
    <mergeCell ref="B32:D32"/>
    <mergeCell ref="B41:D41"/>
    <mergeCell ref="B14:D14"/>
  </mergeCells>
  <pageMargins left="0.7" right="0.7" top="0.75" bottom="0.75" header="0.3" footer="0.3"/>
  <pageSetup paperSize="9" orientation="portrait" verticalDpi="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Guide</vt:lpstr>
      <vt:lpstr>Summary</vt:lpstr>
      <vt:lpstr>Legislation</vt:lpstr>
      <vt:lpstr>Incorporation costs</vt:lpstr>
      <vt:lpstr>Income and Tax</vt:lpstr>
      <vt:lpstr>Interest Rate Break-Even</vt:lpstr>
      <vt:lpstr>Guide!Print_Area</vt:lpstr>
      <vt:lpstr>'Income and Tax'!Print_Area</vt:lpstr>
      <vt:lpstr>'Incorporation costs'!Print_Area</vt:lpstr>
      <vt:lpstr>Legislation!Print_Area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Whittaker</dc:creator>
  <cp:lastModifiedBy>Amy Earl</cp:lastModifiedBy>
  <cp:lastPrinted>2017-03-08T15:21:01Z</cp:lastPrinted>
  <dcterms:created xsi:type="dcterms:W3CDTF">2015-07-09T11:13:46Z</dcterms:created>
  <dcterms:modified xsi:type="dcterms:W3CDTF">2017-03-09T14:08:01Z</dcterms:modified>
</cp:coreProperties>
</file>